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P\Desktop\Portfolio\Templates\"/>
    </mc:Choice>
  </mc:AlternateContent>
  <xr:revisionPtr revIDLastSave="0" documentId="13_ncr:1_{978AA265-F43A-4500-8174-0C520398F525}" xr6:coauthVersionLast="47" xr6:coauthVersionMax="47" xr10:uidLastSave="{00000000-0000-0000-0000-000000000000}"/>
  <bookViews>
    <workbookView xWindow="-98" yWindow="-98" windowWidth="19396" windowHeight="10276" tabRatio="500" firstSheet="6" activeTab="8" xr2:uid="{00000000-000D-0000-FFFF-FFFF00000000}"/>
  </bookViews>
  <sheets>
    <sheet name="Service Overview" sheetId="1" r:id="rId1"/>
    <sheet name="Parameters" sheetId="2" r:id="rId2"/>
    <sheet name="Recovery Objectives" sheetId="3" r:id="rId3"/>
    <sheet name="Recovery Testing" sheetId="4" r:id="rId4"/>
    <sheet name="Performance Metrics" sheetId="5" r:id="rId5"/>
    <sheet name="Impact Analysis" sheetId="6" r:id="rId6"/>
    <sheet name="Improvement Action Plan" sheetId="7" r:id="rId7"/>
    <sheet name="Analysis Key" sheetId="8" r:id="rId8"/>
    <sheet name="Formulae Reference" sheetId="9" r:id="rId9"/>
  </sheets>
  <definedNames>
    <definedName name="BF">Parameters!$C$10</definedName>
    <definedName name="CSR">Parameters!$C$20</definedName>
    <definedName name="CustomerRPO">Parameters!$C$25</definedName>
    <definedName name="CustomerRTO">Parameters!$C$24</definedName>
    <definedName name="DCR">Parameters!$C$11</definedName>
    <definedName name="GD">Parameters!$C$22</definedName>
    <definedName name="IC">Parameters!$C$21</definedName>
    <definedName name="IncidentFreq">Parameters!$C$12</definedName>
    <definedName name="NCD">Parameters!$C$15</definedName>
    <definedName name="RA">Parameters!$C$17</definedName>
    <definedName name="RTD">Parameters!$C$14</definedName>
    <definedName name="SC">Parameters!$C$19</definedName>
    <definedName name="SEA">Parameters!$C$18</definedName>
    <definedName name="TTCR">Parameters!$C$7</definedName>
    <definedName name="TTD">Parameters!$C$5</definedName>
    <definedName name="TTIR">Parameters!$C$6</definedName>
    <definedName name="TTVR">Parameters!$C$8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4" i="1" l="1"/>
  <c r="B15" i="1"/>
  <c r="B20" i="5"/>
  <c r="A25" i="2"/>
  <c r="A24" i="2"/>
  <c r="A22" i="2"/>
  <c r="A21" i="2"/>
  <c r="A20" i="2"/>
  <c r="A19" i="2"/>
  <c r="A17" i="2"/>
  <c r="A15" i="2"/>
  <c r="A14" i="2"/>
  <c r="A12" i="2"/>
  <c r="A11" i="2"/>
  <c r="A10" i="2"/>
  <c r="A8" i="2"/>
  <c r="A7" i="2"/>
  <c r="A6" i="2"/>
  <c r="A18" i="2"/>
  <c r="A5" i="2"/>
  <c r="F37" i="7"/>
  <c r="F36" i="7"/>
  <c r="F32" i="7"/>
  <c r="F28" i="7"/>
  <c r="F27" i="7"/>
  <c r="F26" i="7"/>
  <c r="F25" i="7"/>
  <c r="F24" i="7"/>
  <c r="F23" i="7"/>
  <c r="F19" i="7"/>
  <c r="F18" i="7"/>
  <c r="F17" i="7"/>
  <c r="F16" i="7"/>
  <c r="F15" i="7"/>
  <c r="F14" i="7"/>
  <c r="F10" i="7"/>
  <c r="F9" i="7"/>
  <c r="F8" i="7"/>
  <c r="F7" i="7"/>
  <c r="F6" i="7"/>
  <c r="F5" i="7"/>
  <c r="B29" i="6"/>
  <c r="B28" i="6"/>
  <c r="B25" i="6"/>
  <c r="B16" i="6"/>
  <c r="B15" i="6"/>
  <c r="B9" i="6"/>
  <c r="B45" i="5"/>
  <c r="C44" i="5"/>
  <c r="D44" i="5" s="1"/>
  <c r="C43" i="5"/>
  <c r="D43" i="5" s="1"/>
  <c r="C42" i="5"/>
  <c r="D42" i="5" s="1"/>
  <c r="C41" i="5"/>
  <c r="C40" i="5"/>
  <c r="D40" i="5" s="1"/>
  <c r="E36" i="5"/>
  <c r="C36" i="5"/>
  <c r="E35" i="5"/>
  <c r="C35" i="5"/>
  <c r="E34" i="5"/>
  <c r="C34" i="5"/>
  <c r="B29" i="5"/>
  <c r="B28" i="5"/>
  <c r="B27" i="5"/>
  <c r="B22" i="5"/>
  <c r="B21" i="5"/>
  <c r="B19" i="5"/>
  <c r="B15" i="5"/>
  <c r="D14" i="5"/>
  <c r="D13" i="5"/>
  <c r="D12" i="5"/>
  <c r="B6" i="5"/>
  <c r="B5" i="5"/>
  <c r="B7" i="5" s="1"/>
  <c r="B26" i="1" s="1"/>
  <c r="B27" i="1" s="1"/>
  <c r="B4" i="5"/>
  <c r="B30" i="4"/>
  <c r="B8" i="4"/>
  <c r="B35" i="3"/>
  <c r="B32" i="3"/>
  <c r="B23" i="3"/>
  <c r="B24" i="3" s="1"/>
  <c r="B25" i="3" s="1"/>
  <c r="B26" i="3" s="1"/>
  <c r="F19" i="3"/>
  <c r="E19" i="3"/>
  <c r="D19" i="3"/>
  <c r="F18" i="3"/>
  <c r="F17" i="3"/>
  <c r="F16" i="3"/>
  <c r="B5" i="3"/>
  <c r="B6" i="3" s="1"/>
  <c r="B7" i="3" s="1"/>
  <c r="B4" i="3"/>
  <c r="B29" i="1" s="1"/>
  <c r="B16" i="1"/>
  <c r="F34" i="7" l="1"/>
  <c r="F35" i="7"/>
  <c r="F33" i="7"/>
  <c r="B30" i="5"/>
  <c r="D36" i="5" s="1"/>
  <c r="B23" i="5"/>
  <c r="C45" i="5"/>
  <c r="D41" i="5"/>
  <c r="B8" i="3"/>
  <c r="B10" i="3" s="1"/>
  <c r="B22" i="1" s="1"/>
  <c r="B17" i="6"/>
  <c r="B31" i="4"/>
  <c r="B33" i="4" s="1"/>
  <c r="B28" i="3"/>
  <c r="B25" i="1" s="1"/>
  <c r="B23" i="1"/>
  <c r="B24" i="1" s="1"/>
  <c r="B27" i="3"/>
  <c r="B41" i="4"/>
  <c r="B8" i="5"/>
  <c r="C12" i="5"/>
  <c r="C14" i="5"/>
  <c r="D34" i="5"/>
  <c r="C13" i="5"/>
  <c r="D35" i="5"/>
  <c r="B28" i="1"/>
  <c r="B20" i="1" l="1"/>
  <c r="B30" i="1" s="1"/>
  <c r="B34" i="4"/>
  <c r="B9" i="3"/>
  <c r="B7" i="6" s="1"/>
  <c r="B8" i="6" s="1"/>
  <c r="B10" i="6" s="1"/>
  <c r="B11" i="6" s="1"/>
  <c r="B12" i="6" s="1"/>
  <c r="B32" i="4"/>
  <c r="B9" i="4"/>
  <c r="B18" i="4"/>
  <c r="B18" i="6"/>
  <c r="B21" i="6" s="1"/>
  <c r="B20" i="6"/>
  <c r="B19" i="6"/>
  <c r="B35" i="4"/>
  <c r="B44" i="4" s="1"/>
  <c r="B21" i="1" l="1"/>
  <c r="B11" i="4"/>
  <c r="B13" i="4"/>
  <c r="B21" i="4" s="1"/>
  <c r="B12" i="4"/>
  <c r="B10" i="4"/>
</calcChain>
</file>

<file path=xl/sharedStrings.xml><?xml version="1.0" encoding="utf-8"?>
<sst xmlns="http://schemas.openxmlformats.org/spreadsheetml/2006/main" count="764" uniqueCount="550">
  <si>
    <t>SERVICE RECOVERY OBJECTIVES  |  Service Overview</t>
  </si>
  <si>
    <t>Organization Name</t>
  </si>
  <si>
    <t>Legal entity or business unit name</t>
  </si>
  <si>
    <t>Service Name</t>
  </si>
  <si>
    <t>The primary service this document covers</t>
  </si>
  <si>
    <t>Service Code</t>
  </si>
  <si>
    <t>Internal identifier (e.g. SVC-001)</t>
  </si>
  <si>
    <t>Service Category</t>
  </si>
  <si>
    <t>IaaS / PaaS / SaaS / Telco Core / Fintech Core / IT-ODMS / MSP / Hybrid</t>
  </si>
  <si>
    <t>Service Tier</t>
  </si>
  <si>
    <t>Tier 1 – Mission Critical / Tier 2 – Business Critical / Tier 3 – Business Operational / Tier 4 – Non-Critical</t>
  </si>
  <si>
    <t>Service Description</t>
  </si>
  <si>
    <t>Department / Business Unit</t>
  </si>
  <si>
    <t>Primary Service Owner</t>
  </si>
  <si>
    <t>Name, Title</t>
  </si>
  <si>
    <t>Secondary Service Owner</t>
  </si>
  <si>
    <t>Associated SLA Document</t>
  </si>
  <si>
    <t>Document name and version</t>
  </si>
  <si>
    <t>SLA Uptime Commitment (%)</t>
  </si>
  <si>
    <t>e.g. 99.95</t>
  </si>
  <si>
    <t>Max Tolerable Downtime / Month (min)</t>
  </si>
  <si>
    <t>Auto-calculated from uptime commitment</t>
  </si>
  <si>
    <t>Last Assessment Date</t>
  </si>
  <si>
    <t>Pin to a fixed date when finalizing</t>
  </si>
  <si>
    <t>Next Assessment Due</t>
  </si>
  <si>
    <t>Default 90-day review cycle</t>
  </si>
  <si>
    <t>Assessment Status</t>
  </si>
  <si>
    <t>Draft / Under Review / Approved / Superseded</t>
  </si>
  <si>
    <t>Final RTO Target (minutes)</t>
  </si>
  <si>
    <t>Maximum acceptable time to restore service after outage</t>
  </si>
  <si>
    <t>Final RTO Target (hours)</t>
  </si>
  <si>
    <t>RTO Tier Classification</t>
  </si>
  <si>
    <t>Final RPO Target (minutes)</t>
  </si>
  <si>
    <t>Maximum acceptable data loss measured in time</t>
  </si>
  <si>
    <t>Final RPO Target (hours)</t>
  </si>
  <si>
    <t>RPO Tier Classification</t>
  </si>
  <si>
    <t>MTTR Target (minutes)</t>
  </si>
  <si>
    <t>Mean time from detection to full service restoration</t>
  </si>
  <si>
    <t>MTTR Target (hours)</t>
  </si>
  <si>
    <t>MTBF Target (days)</t>
  </si>
  <si>
    <t>Mean time between service-impacting failures</t>
  </si>
  <si>
    <t>Dependency RTO Floor (minutes)</t>
  </si>
  <si>
    <t>Mother service RTO cannot be set below this value</t>
  </si>
  <si>
    <t>SLO Feasibility</t>
  </si>
  <si>
    <t>Validates that committed RTO is achievable given dependency recovery times</t>
  </si>
  <si>
    <t>Parameter</t>
  </si>
  <si>
    <t>Previous Value</t>
  </si>
  <si>
    <t>Date of Change</t>
  </si>
  <si>
    <t>Reason for Change</t>
  </si>
  <si>
    <t>Changed By</t>
  </si>
  <si>
    <t>RTO Target (minutes)</t>
  </si>
  <si>
    <t>RPO Target (minutes)</t>
  </si>
  <si>
    <t>MTTR Performance</t>
  </si>
  <si>
    <t>MTBF Performance</t>
  </si>
  <si>
    <t>Service Criticality</t>
  </si>
  <si>
    <t>Role</t>
  </si>
  <si>
    <t>Name and Title</t>
  </si>
  <si>
    <t>Date</t>
  </si>
  <si>
    <t>Department</t>
  </si>
  <si>
    <t>Signature</t>
  </si>
  <si>
    <t>Assessment Completed By</t>
  </si>
  <si>
    <t>Technical Review By</t>
  </si>
  <si>
    <t>Business / SLA Approval</t>
  </si>
  <si>
    <t>All cells in Column C are inputs. Named ranges in Excel point directly to these cells. Blue text = hardcoded input.  Black text = formula.  Green text = cross-sheet link.</t>
  </si>
  <si>
    <t>Value</t>
  </si>
  <si>
    <t>Units</t>
  </si>
  <si>
    <t>Source of Data</t>
  </si>
  <si>
    <t>Last Updated</t>
  </si>
  <si>
    <t>Notes</t>
  </si>
  <si>
    <t>Time to Detect Issue (TTD)</t>
  </si>
  <si>
    <t>minutes</t>
  </si>
  <si>
    <t>Monitoring alert logs</t>
  </si>
  <si>
    <t>From first alert to acknowledgement</t>
  </si>
  <si>
    <t>Time to Initiate Recovery (TTIR)</t>
  </si>
  <si>
    <t>Incident reports</t>
  </si>
  <si>
    <t>From acknowledgement to first recovery action</t>
  </si>
  <si>
    <t>Time to Complete Recovery (TTCR)</t>
  </si>
  <si>
    <t>Recovery logs</t>
  </si>
  <si>
    <t>Active repair duration</t>
  </si>
  <si>
    <t>Time to Validate Recovery (TTVR)</t>
  </si>
  <si>
    <t>Test procedures</t>
  </si>
  <si>
    <t>Confirmation that service is fully restored</t>
  </si>
  <si>
    <t>Backup Frequency (BF)</t>
  </si>
  <si>
    <t>Backup system logs</t>
  </si>
  <si>
    <t>Interval between backup snapshots</t>
  </si>
  <si>
    <t>Data Change Rate (DCR)</t>
  </si>
  <si>
    <t>GB/hour</t>
  </si>
  <si>
    <t>Storage analytics</t>
  </si>
  <si>
    <t>Average rate of data change between backups</t>
  </si>
  <si>
    <t>Incident Frequency (IF)</t>
  </si>
  <si>
    <t>per day</t>
  </si>
  <si>
    <t>Incident history</t>
  </si>
  <si>
    <t>0.022 = approximately 8 incidents per year</t>
  </si>
  <si>
    <t>Dependency assessment</t>
  </si>
  <si>
    <t>Weighted average of all upstream dependency RTOs</t>
  </si>
  <si>
    <t>Number of Critical Dependencies (NCD)</t>
  </si>
  <si>
    <t>count</t>
  </si>
  <si>
    <t>Architecture documentation</t>
  </si>
  <si>
    <t>Hard dependencies whose failure cascades to this service</t>
  </si>
  <si>
    <t>Resource Availability (RA)</t>
  </si>
  <si>
    <t>Capacity reports</t>
  </si>
  <si>
    <t>1=Limited  2=Adequate  3=Abundant</t>
  </si>
  <si>
    <t>Staff Expertise and Availability (SEA)</t>
  </si>
  <si>
    <t>HR and team assessment</t>
  </si>
  <si>
    <t>1=Limited  2=Competent  3=Expert</t>
  </si>
  <si>
    <t>Service Criticality (SC)</t>
  </si>
  <si>
    <t>Business impact analysis</t>
  </si>
  <si>
    <t>1=Mission Critical  2=High  3=Medium  4=Low</t>
  </si>
  <si>
    <t>Customer-Specific Requirements (CSR)</t>
  </si>
  <si>
    <t>0 or 1</t>
  </si>
  <si>
    <t>Customer contracts</t>
  </si>
  <si>
    <t>0=Standard SLA  1=Customer override active</t>
  </si>
  <si>
    <t>Infrastructure Complexity (IC)</t>
  </si>
  <si>
    <t>Architecture review</t>
  </si>
  <si>
    <t>1=Simple  3=Moderate  5=Very Complex</t>
  </si>
  <si>
    <t>Geographic Distribution (GD)</t>
  </si>
  <si>
    <t>Deployment documentation</t>
  </si>
  <si>
    <t>1=Single site  2=Multi-site same region  3=Multi-region</t>
  </si>
  <si>
    <t>Customer-Mandated RTO (CustomerRTO)</t>
  </si>
  <si>
    <t>Customer contract</t>
  </si>
  <si>
    <t>Ignored in calculations when CSR = 0</t>
  </si>
  <si>
    <t>Customer-Mandated RPO (CustomerRPO)</t>
  </si>
  <si>
    <t>RECOVERY OBJECTIVES  |  RTO, RPO Calculations and Dependency Register</t>
  </si>
  <si>
    <t>Formula Used</t>
  </si>
  <si>
    <t>Dependency RTO Floor</t>
  </si>
  <si>
    <t>RTD*(1+(NCD*0.05))</t>
  </si>
  <si>
    <t>Base RTO</t>
  </si>
  <si>
    <t>TTIR+TTCR+TTVR</t>
  </si>
  <si>
    <t>Sum of initiation + completion + validation times</t>
  </si>
  <si>
    <t>BaseRTO*(1+((3-RA)/6)+((3-SEA)/6))</t>
  </si>
  <si>
    <t>Penalizes limited resource availability and staff expertise</t>
  </si>
  <si>
    <t>AdjRTO_Res*(SC/4)</t>
  </si>
  <si>
    <t>SC=1 (most critical) yields the most aggressive target</t>
  </si>
  <si>
    <t>Final RTO Target</t>
  </si>
  <si>
    <t>MAX(IF(CSR=1,CustomerRTO,AdjRTO_Crit), DepFloor)</t>
  </si>
  <si>
    <t>Customer override takes precedence; result is never below the dependency floor</t>
  </si>
  <si>
    <t>ROUND(FinalRTO/60, 1)</t>
  </si>
  <si>
    <t>hours</t>
  </si>
  <si>
    <t>Display value</t>
  </si>
  <si>
    <t>IF ladder on FinalRTO value</t>
  </si>
  <si>
    <t>Failover Mechanism</t>
  </si>
  <si>
    <t>Input</t>
  </si>
  <si>
    <t>e.g. Active-Active cluster, Hot Standby, Cold Standby</t>
  </si>
  <si>
    <t>Recovery Procedure Reference</t>
  </si>
  <si>
    <t>Runbook or DR plan document reference</t>
  </si>
  <si>
    <t>System / Service Name</t>
  </si>
  <si>
    <t>Dependency Type</t>
  </si>
  <si>
    <t>Criticality</t>
  </si>
  <si>
    <t>RTO (min)</t>
  </si>
  <si>
    <t>Weight (0-1)</t>
  </si>
  <si>
    <t>Weighted RTO</t>
  </si>
  <si>
    <t>Dependency 1</t>
  </si>
  <si>
    <t>Hard</t>
  </si>
  <si>
    <t>Critical</t>
  </si>
  <si>
    <t>Dependency 2</t>
  </si>
  <si>
    <t>High</t>
  </si>
  <si>
    <t>Dependency 3</t>
  </si>
  <si>
    <t>Soft</t>
  </si>
  <si>
    <t>Medium</t>
  </si>
  <si>
    <t>Weighted Average RTD (verify against Parameters C12)</t>
  </si>
  <si>
    <t>Base RPO</t>
  </si>
  <si>
    <t>BF+(DCR*0.5/1000)</t>
  </si>
  <si>
    <t>Backup frequency plus a data-change lag factor based on change rate</t>
  </si>
  <si>
    <t>BaseRPO*(1+((3-RA)/6))</t>
  </si>
  <si>
    <t>Penalizes limited resource availability</t>
  </si>
  <si>
    <t>AdjRPO_Res*(SC/4)</t>
  </si>
  <si>
    <t>Tighter target for more critical services</t>
  </si>
  <si>
    <t>Final RPO Target</t>
  </si>
  <si>
    <t>MAX(IF(CSR=1,CustomerRPO,AdjRPO_Crit), 1)</t>
  </si>
  <si>
    <t>Customer override takes precedence; 1-minute absolute floor</t>
  </si>
  <si>
    <t>ROUND(FinalRPO/60, 1)</t>
  </si>
  <si>
    <t>IF ladder on FinalRPO value</t>
  </si>
  <si>
    <t>Average Data Change Rate</t>
  </si>
  <si>
    <t>Critical Data Types</t>
  </si>
  <si>
    <t>Data Classification</t>
  </si>
  <si>
    <t>e.g. Confidential, Restricted, Public</t>
  </si>
  <si>
    <t>Backup Frequency</t>
  </si>
  <si>
    <t>Backup Type</t>
  </si>
  <si>
    <t>Incremental / Full / Snapshot / Continuous Replication</t>
  </si>
  <si>
    <t>Backup Technology</t>
  </si>
  <si>
    <t>e.g. Veeam, Commvault, AWS Backup, Velero</t>
  </si>
  <si>
    <t>Primary Backup Location</t>
  </si>
  <si>
    <t>Secondary Backup Location</t>
  </si>
  <si>
    <t>Retention Period</t>
  </si>
  <si>
    <t>Days</t>
  </si>
  <si>
    <t>RECOVERY TESTING  |  Test Results, Compliance Status and Gap Analysis</t>
  </si>
  <si>
    <t>Value / Result</t>
  </si>
  <si>
    <t>Formula / Source</t>
  </si>
  <si>
    <t>Test Date</t>
  </si>
  <si>
    <t>date</t>
  </si>
  <si>
    <t>Test Scenario Description</t>
  </si>
  <si>
    <t>Test Start Time</t>
  </si>
  <si>
    <t>Input  (HH:MM format)</t>
  </si>
  <si>
    <t>time</t>
  </si>
  <si>
    <t>Recovery Completion Time</t>
  </si>
  <si>
    <t>Actual Recovery Time</t>
  </si>
  <si>
    <t>(RecoveryCompletionTime - StartTime) * 1440   [converts Excel time fraction to minutes]</t>
  </si>
  <si>
    <t>Target RTO (from Sheet 3)</t>
  </si>
  <si>
    <t>Recovery Objectives sheet B8</t>
  </si>
  <si>
    <t>RTO Compliance</t>
  </si>
  <si>
    <t>IF(ActualRecoveryTime &lt;= FinalRTO, Compliant, Non-Compliant)</t>
  </si>
  <si>
    <t>Gap (minutes over target)</t>
  </si>
  <si>
    <t>IF(ActualRecoveryTime &lt;= FinalRTO, 0, ActualRecoveryTime - FinalRTO)</t>
  </si>
  <si>
    <t>Gap Narrative</t>
  </si>
  <si>
    <t>IF(compliant, Within target, Exceeds target by N minutes)</t>
  </si>
  <si>
    <t>Risk Level</t>
  </si>
  <si>
    <t>IF(compliant, Low, IF(actual &lt;= target*1.25, Medium, High))</t>
  </si>
  <si>
    <t>Test Conducted By</t>
  </si>
  <si>
    <t>Test Validated By</t>
  </si>
  <si>
    <t>Gap Identified</t>
  </si>
  <si>
    <t>Cross-reference to test result</t>
  </si>
  <si>
    <t>Root Cause</t>
  </si>
  <si>
    <t>Impact on Service</t>
  </si>
  <si>
    <t>Remediation Action</t>
  </si>
  <si>
    <t>Input  (reference Action Plan sheet)</t>
  </si>
  <si>
    <t>Target Resolution</t>
  </si>
  <si>
    <t>Last Backup Before Test</t>
  </si>
  <si>
    <t>Simulated Failure Time</t>
  </si>
  <si>
    <t>Actual Data Loss Period</t>
  </si>
  <si>
    <t>(SimulatedFailureTime - LastBackup) * 1440   [converts Excel time fraction to minutes]</t>
  </si>
  <si>
    <t>Target RPO (from Sheet 3)</t>
  </si>
  <si>
    <t>Recovery Objectives sheet B27</t>
  </si>
  <si>
    <t>RPO Compliance</t>
  </si>
  <si>
    <t>IF(ActualDataLoss &lt;= FinalRPO, Compliant, Non-Compliant)</t>
  </si>
  <si>
    <t>IF(compliant, 0, actual - target)</t>
  </si>
  <si>
    <t>Data Volume Affected</t>
  </si>
  <si>
    <t>GB</t>
  </si>
  <si>
    <t>PERFORMANCE METRICS  |  MTTR, MTBF Targets and Historical Performance</t>
  </si>
  <si>
    <t>Formula</t>
  </si>
  <si>
    <t>Base MTTR</t>
  </si>
  <si>
    <t>TTD + TTIR + TTCR + TTVR</t>
  </si>
  <si>
    <t>Full incident lifecycle from detection to validation</t>
  </si>
  <si>
    <t>Infrastructure Complexity Adjustment</t>
  </si>
  <si>
    <t>(IC - 1) / 4</t>
  </si>
  <si>
    <t>ratio</t>
  </si>
  <si>
    <t>IC=1 yields 0 (no penalty); IC=5 yields 1.0 (doubles MTTR)</t>
  </si>
  <si>
    <t>Geographic Distribution Adjustment</t>
  </si>
  <si>
    <t>(GD - 1) / 4</t>
  </si>
  <si>
    <t>GD=1 yields 0; GD=3 yields 0.5 (50% penalty)</t>
  </si>
  <si>
    <t>Adjusted MTTR Target</t>
  </si>
  <si>
    <t>BaseMTTR * (1 + ComplexityAdj) * (1 + GeographicAdj)</t>
  </si>
  <si>
    <t>Adjusted MTTR Target (hours)</t>
  </si>
  <si>
    <t>ROUND(AdjMTTR / 60, 1)</t>
  </si>
  <si>
    <t>Time Period</t>
  </si>
  <si>
    <t>Actual MTTR (min)</t>
  </si>
  <si>
    <t>Target MTTR (min)</t>
  </si>
  <si>
    <t>Compliance</t>
  </si>
  <si>
    <t>Last 30 days</t>
  </si>
  <si>
    <t>Last 90 days</t>
  </si>
  <si>
    <t>Last 12 months</t>
  </si>
  <si>
    <t>MTTR Trend (30-day vs 90-day)</t>
  </si>
  <si>
    <t>IF(30-day actual &lt; 90-day actual, Improving, IF(equal, Stable, Degrading))</t>
  </si>
  <si>
    <t>Compares most recent period against prior period</t>
  </si>
  <si>
    <t>Phase</t>
  </si>
  <si>
    <t>Duration (min)</t>
  </si>
  <si>
    <t>Source</t>
  </si>
  <si>
    <t>Detection</t>
  </si>
  <si>
    <t>Diagnosis</t>
  </si>
  <si>
    <t>Repair</t>
  </si>
  <si>
    <t>Validation</t>
  </si>
  <si>
    <t>Phase Sum (cross-check against Base MTTR)</t>
  </si>
  <si>
    <t>Should match or approximate Base MTTR in row 4</t>
  </si>
  <si>
    <t>Base MTBF</t>
  </si>
  <si>
    <t>IFERROR(1 / IncidentFreq, 9999)</t>
  </si>
  <si>
    <t>days</t>
  </si>
  <si>
    <t>Inverse of incident frequency; IFERROR prevents division by zero</t>
  </si>
  <si>
    <t>Resource Availability Factor</t>
  </si>
  <si>
    <t>RA / 3</t>
  </si>
  <si>
    <t>Higher resource availability supports longer MTBF</t>
  </si>
  <si>
    <t>Staff Expertise Factor</t>
  </si>
  <si>
    <t>SEA / 3</t>
  </si>
  <si>
    <t>Expert staff enables faster issue prevention and detection</t>
  </si>
  <si>
    <t>Adjusted MTBF Target</t>
  </si>
  <si>
    <t>BaseMTBF * ResourceFactor * ExpertiseFactor</t>
  </si>
  <si>
    <t>Incident Count</t>
  </si>
  <si>
    <t>Calculated MTBF (days)</t>
  </si>
  <si>
    <t>Target (days)</t>
  </si>
  <si>
    <t>Category</t>
  </si>
  <si>
    <t>% of Total</t>
  </si>
  <si>
    <t>Relative Frequency</t>
  </si>
  <si>
    <t>Hardware failures</t>
  </si>
  <si>
    <t>Software failures</t>
  </si>
  <si>
    <t>Network failures</t>
  </si>
  <si>
    <t>Human / process errors</t>
  </si>
  <si>
    <t>External / third-party</t>
  </si>
  <si>
    <t>Total</t>
  </si>
  <si>
    <t>IMPACT ANALYSIS  |  Financial, SLA Modelling, Customer and Operational Impact</t>
  </si>
  <si>
    <t>Units / Notes</t>
  </si>
  <si>
    <t>Direct Cost per Hour of Downtime</t>
  </si>
  <si>
    <t>Currency</t>
  </si>
  <si>
    <t>Indirect Costs per Incident</t>
  </si>
  <si>
    <t>SLA Penalty per Breach</t>
  </si>
  <si>
    <t>Maximum Incident Duration (hours)</t>
  </si>
  <si>
    <t>Recovery Objectives sheet B9  (Final RTO in hours)</t>
  </si>
  <si>
    <t>Maximum Total Impact per Incident</t>
  </si>
  <si>
    <t>DirectCost * RTOhours + IndirectCosts + SLAPenalty</t>
  </si>
  <si>
    <t>Annual Incident Frequency</t>
  </si>
  <si>
    <t>IncidentFreq * 365</t>
  </si>
  <si>
    <t>incidents/year</t>
  </si>
  <si>
    <t>Expected Annual Downtime Cost</t>
  </si>
  <si>
    <t>MaxImpact * AnnualIncidentFrequency</t>
  </si>
  <si>
    <t>Potential Saving from 50% MTTR Reduction</t>
  </si>
  <si>
    <t>AnnualDowntimeCost * 0.5</t>
  </si>
  <si>
    <t>ROI of Improvement Investment</t>
  </si>
  <si>
    <t>(CostAvoidance - InvestmentCost) / InvestmentCost * 100   [update denominator with actual investment cost]</t>
  </si>
  <si>
    <t>%</t>
  </si>
  <si>
    <t>Service Overview sheet B13</t>
  </si>
  <si>
    <t>Total Minutes in a 30-Day Month</t>
  </si>
  <si>
    <t>60*24*30</t>
  </si>
  <si>
    <t>Allowed Downtime per Month (minutes)</t>
  </si>
  <si>
    <t>TotalMinutes * (1 - SLA_Uptime_Pct / 100)</t>
  </si>
  <si>
    <t>Single RTO Event as % of Allowance</t>
  </si>
  <si>
    <t>FinalRTO / MonthlyAllowance * 100</t>
  </si>
  <si>
    <t>Full RTO Events Before SLA Breach</t>
  </si>
  <si>
    <t>INT(MonthlyAllowance / FinalRTO)</t>
  </si>
  <si>
    <t>Remaining Allowance After 1 Incident</t>
  </si>
  <si>
    <t>MonthlyAllowance - FinalRTO</t>
  </si>
  <si>
    <t>SLA Risk Exposure</t>
  </si>
  <si>
    <t>IF(SingleRTO% &gt; 50, High, IF(&gt; 25, Moderate, Low))</t>
  </si>
  <si>
    <t>Number of Customers / End Users Affected</t>
  </si>
  <si>
    <t>Customer Criticality Classification</t>
  </si>
  <si>
    <t>IF(SC=1, Mission Critical, IF(SC=2, High, IF(SC=3, Medium, Low)))</t>
  </si>
  <si>
    <t>Potential Customer Experience Issues</t>
  </si>
  <si>
    <t>Internal Business Processes Affected</t>
  </si>
  <si>
    <t>Number of Downstream Services Impacted</t>
  </si>
  <si>
    <t>NCD from Parameters</t>
  </si>
  <si>
    <t>Reputational Impact Classification</t>
  </si>
  <si>
    <t>IF(SC=1, Critical, IF(SC=2, High, IF(SC=3, Medium, Low)))</t>
  </si>
  <si>
    <t>IMPROVEMENT ACTION PLAN  |  Short, Medium and Long-term Remediation Actions</t>
  </si>
  <si>
    <t>Status auto-populates from Progress % and Due Date. Override manually if needed. Blue = input.  Black = formula.</t>
  </si>
  <si>
    <t>#</t>
  </si>
  <si>
    <t>Action Description</t>
  </si>
  <si>
    <t>Owner</t>
  </si>
  <si>
    <t>Due Date</t>
  </si>
  <si>
    <t>Dependencies</t>
  </si>
  <si>
    <t>Auto Status</t>
  </si>
  <si>
    <t>Progress %</t>
  </si>
  <si>
    <t>Priority</t>
  </si>
  <si>
    <t>LONG-TERM ACTIONS  (3+ months)</t>
  </si>
  <si>
    <t>PLAN SUMMARY</t>
  </si>
  <si>
    <t>Total Actions Defined</t>
  </si>
  <si>
    <t>Complete</t>
  </si>
  <si>
    <t>In Progress</t>
  </si>
  <si>
    <t>Overdue</t>
  </si>
  <si>
    <t>Overall Progress</t>
  </si>
  <si>
    <t>Average of all non-blank rows</t>
  </si>
  <si>
    <t>P1 Critical Actions Open</t>
  </si>
  <si>
    <t>ANALYSIS KEY  |  Definitions, Tier Classifications and Reference Tables</t>
  </si>
  <si>
    <t>Term</t>
  </si>
  <si>
    <t>Definition</t>
  </si>
  <si>
    <t>Operational Significance</t>
  </si>
  <si>
    <t>RTO</t>
  </si>
  <si>
    <t>Longer RTO = more downtime, greater revenue loss and customer impact</t>
  </si>
  <si>
    <t>RPO</t>
  </si>
  <si>
    <t>Longer RPO = more data lost between last backup and failure event</t>
  </si>
  <si>
    <t>MTTR</t>
  </si>
  <si>
    <t>Higher MTTR indicates a slower or less mature recovery process</t>
  </si>
  <si>
    <t>MTBF</t>
  </si>
  <si>
    <t>Lower MTBF indicates a less reliable service or infrastructure</t>
  </si>
  <si>
    <t>TTD</t>
  </si>
  <si>
    <t>Detection delay propagates and inflates all downstream recovery metrics</t>
  </si>
  <si>
    <t>TTIR</t>
  </si>
  <si>
    <t>Reflects process maturity and on-call readiness</t>
  </si>
  <si>
    <t>TTCR</t>
  </si>
  <si>
    <t>Reflects infrastructure resilience, automation level, and team expertise</t>
  </si>
  <si>
    <t>TTVR</t>
  </si>
  <si>
    <t>Often underestimated; critical for preventing premature incident closure</t>
  </si>
  <si>
    <t>Mother Service</t>
  </si>
  <si>
    <t>The primary service whose SLO must encompass the recovery objectives of all upstream dependencies</t>
  </si>
  <si>
    <t>Its RTO can never be shorter than the longest dependency recovery time</t>
  </si>
  <si>
    <t>Dependency Floor</t>
  </si>
  <si>
    <t>Setting a committed RTO below this floor is a paper SLA with no operational basis</t>
  </si>
  <si>
    <t>Tier</t>
  </si>
  <si>
    <t>Time Range</t>
  </si>
  <si>
    <t>Classification</t>
  </si>
  <si>
    <t>Typical Applications</t>
  </si>
  <si>
    <t>Tier 1</t>
  </si>
  <si>
    <t>Mission Critical</t>
  </si>
  <si>
    <t>Payment systems, core network, emergency services, trading platforms</t>
  </si>
  <si>
    <t>Tier 2</t>
  </si>
  <si>
    <t>Business Critical</t>
  </si>
  <si>
    <t>CRM, ERP, core banking (non-real-time), email infrastructure</t>
  </si>
  <si>
    <t>Tier 3</t>
  </si>
  <si>
    <t>Business Operational</t>
  </si>
  <si>
    <t>Reporting systems, analytics platforms, HR systems</t>
  </si>
  <si>
    <t>Tier 4</t>
  </si>
  <si>
    <t>24+ hours</t>
  </si>
  <si>
    <t>Non-Critical</t>
  </si>
  <si>
    <t>Archive systems, development and test environments</t>
  </si>
  <si>
    <t>No Data Loss</t>
  </si>
  <si>
    <t>Financial transactions, real-time telemetry, audit logs</t>
  </si>
  <si>
    <t>Minimal Loss</t>
  </si>
  <si>
    <t>CRM records, collaboration tools, customer-facing state</t>
  </si>
  <si>
    <t>Moderate Loss</t>
  </si>
  <si>
    <t>Content management, file sharing, internal portals</t>
  </si>
  <si>
    <t>4+ hours</t>
  </si>
  <si>
    <t>Extended Loss</t>
  </si>
  <si>
    <t>Development environments, archive and backup systems</t>
  </si>
  <si>
    <t>Recovery Speed</t>
  </si>
  <si>
    <t>Implementation Cost</t>
  </si>
  <si>
    <t>Protection Level</t>
  </si>
  <si>
    <t>Typical Implementation Pattern</t>
  </si>
  <si>
    <t>Sub-15 min RTO</t>
  </si>
  <si>
    <t>Very High</t>
  </si>
  <si>
    <t>Active-active multi-site, synchronous replication, zero-RPO CDC</t>
  </si>
  <si>
    <t>Hot standby, sub-15-min backups, automated failover</t>
  </si>
  <si>
    <t>Moderate</t>
  </si>
  <si>
    <t>Warm standby, hourly snapshots, scripted recovery procedures</t>
  </si>
  <si>
    <t>12+ hr RTO</t>
  </si>
  <si>
    <t>Low</t>
  </si>
  <si>
    <t>Cold standby, daily backups, manual restore procedures</t>
  </si>
  <si>
    <t>This sheet documents every formula used in the workbook. Named ranges (e.g. TTD, TTIR, FinalRTO) are defined in Excel Name Manager pointing to Parameters column C. Full cell references are used in the actual sheets as fallback where named ranges are not yet defined.</t>
  </si>
  <si>
    <t>Metric</t>
  </si>
  <si>
    <t>Formula (Named Ranges)</t>
  </si>
  <si>
    <t>Explanation</t>
  </si>
  <si>
    <t>Worked Example</t>
  </si>
  <si>
    <t>RTD * (1 + (NCD * 0.05))</t>
  </si>
  <si>
    <t>Takes the weighted average dependency RTO and adds a 5% penalty per additional dependency to account for coordination overhead during concurrent dependency recovery.</t>
  </si>
  <si>
    <t>RTD=45, NCD=3  -&gt;  45*(1+0.15) = 51.75 min</t>
  </si>
  <si>
    <t>TTIR + TTCR + TTVR</t>
  </si>
  <si>
    <t>TTIR=30, TTCR=60, TTVR=15  -&gt;  105 min</t>
  </si>
  <si>
    <t>BaseRTO * (1 + ((3-RA)/6) + ((3-SEA)/6))</t>
  </si>
  <si>
    <t>Penalizes RTO when resources or staff expertise are limited. Divisor of 6 (not 10) is chosen for a 1-3 scale to produce proportional impact. RA=3 and SEA=3 produce zero penalty. RA=1 and SEA=1 produce a 67% increase.</t>
  </si>
  <si>
    <t>BaseRTO=105, RA=2, SEA=3  -&gt;  105*(1+1/6+0) = 122.5 min</t>
  </si>
  <si>
    <t>AdjRTO_Res * (SC / 4)</t>
  </si>
  <si>
    <t>Scales the target by service criticality. SC=1 (most critical) divides by 4, producing the most aggressive target. SC=4 (least critical) returns the unadjusted value.</t>
  </si>
  <si>
    <t>AdjRes=122.5, SC=1  -&gt;  122.5*(1/4) = 30.6 min</t>
  </si>
  <si>
    <t>MAX( IF(CSR=1, CustomerRTO, AdjRTO_Crit), DepFloor )</t>
  </si>
  <si>
    <t>AdjCrit=30.6, DepFloor=51.75  -&gt;  MAX(30.6,51.75) = 51.75 min</t>
  </si>
  <si>
    <t>BF + (DCR * 0.5 / 1000)</t>
  </si>
  <si>
    <t>Backup frequency sets the primary floor. The second term estimates the data written during half a backup interval at the given change rate, converted to time-equivalent minutes.</t>
  </si>
  <si>
    <t>BF=15, DCR=50  -&gt;  15+(50*0.5/1000) = 15.025 min</t>
  </si>
  <si>
    <t>BaseRPO * (1 + ((3-RA) / 6))</t>
  </si>
  <si>
    <t>Limited resource availability increases recovery complexity and extends the effective data loss window beyond the raw backup interval.</t>
  </si>
  <si>
    <t>Base=15.025, RA=2  -&gt;  15.025*(1+1/6) = 17.5 min</t>
  </si>
  <si>
    <t>AdjRPO_Res * (SC / 4)</t>
  </si>
  <si>
    <t>Applies the same criticality scaling used in RTO. A mission-critical service (SC=1) inherits the most aggressive RPO target.</t>
  </si>
  <si>
    <t>AdjRes=17.5, SC=1  -&gt;  17.5*(1/4) = 4.4 min</t>
  </si>
  <si>
    <t>MAX( IF(CSR=1, CustomerRPO, AdjRPO_Crit), 1 )</t>
  </si>
  <si>
    <t>Customer override takes precedence when CSR=1. The absolute floor of 1 minute prevents a zero or negative RPO from propagating into dependent calculations.</t>
  </si>
  <si>
    <t>AdjCrit=4.4  -&gt;  MAX(4.4,1) = 4.4 min</t>
  </si>
  <si>
    <t>Full incident lifecycle from first detection signal through to service validation. Unlike Base RTO, detection time is included because MTTR measures elapsed wall-clock time from the moment of failure, not from the moment recovery begins.</t>
  </si>
  <si>
    <t>TTD=15, TTIR=30, TTCR=60, TTVR=15  -&gt;  120 min</t>
  </si>
  <si>
    <t>Complexity Adjustment</t>
  </si>
  <si>
    <t>Infrastructure complexity adds overhead to every recovery action. IC=1 (simple) yields zero adjustment. IC=5 (very complex) yields 1.0, doubling MTTR.</t>
  </si>
  <si>
    <t>IC=3  -&gt;  (3-1)/4 = 0.5  (50% penalty)</t>
  </si>
  <si>
    <t>Geographic Adjustment</t>
  </si>
  <si>
    <t>Multi-region deployments add coordination, data-sync, and failover routing complexity. GD=1 (single site) yields zero. GD=3 (multi-region) yields 0.5.</t>
  </si>
  <si>
    <t>GD=2  -&gt;  (2-1)/4 = 0.25  (25% penalty)</t>
  </si>
  <si>
    <t>Adjusted MTTR</t>
  </si>
  <si>
    <t>Both adjustments multiply rather than add, reflecting that complexity and geographic distribution compound each other's impact rather than acting independently.</t>
  </si>
  <si>
    <t>Base=120, Complex=0.5, Geo=0.25  -&gt;  120*1.5*1.25 = 225 min</t>
  </si>
  <si>
    <t>IncidentFreq=0.022  -&gt;  1/0.022 = 45.45 days</t>
  </si>
  <si>
    <t>Resource Factor</t>
  </si>
  <si>
    <t>Higher resource availability directly supports longer mean time between failures through faster preventive maintenance and faster minor-issue resolution.</t>
  </si>
  <si>
    <t>RA=2  -&gt;  2/3 = 0.667</t>
  </si>
  <si>
    <t>Expertise Factor</t>
  </si>
  <si>
    <t>Expert staff prevent incidents through better change management, configuration hygiene, and proactive monitoring. SEA=3 yields factor 1.0 (no reduction).</t>
  </si>
  <si>
    <t>SEA=3  -&gt;  3/3 = 1.0</t>
  </si>
  <si>
    <t>Adjusted MTBF</t>
  </si>
  <si>
    <t>Both factors reduce the theoretical MTBF to reflect real operational constraints. A fully staffed, well-resourced team (RA=3, SEA=3) achieves the base theoretical MTBF.</t>
  </si>
  <si>
    <t>Base=45.45, RF=0.667, EF=1.0  -&gt;  45.45*0.667*1.0 = 30.3 days</t>
  </si>
  <si>
    <t>Max Impact per Incident</t>
  </si>
  <si>
    <t>Combines direct revenue loss (proportional to RTO duration), fixed indirect costs per incident, and any contractual SLA penalties.</t>
  </si>
  <si>
    <t>250,000*2 + 500,000 + 100,000 = 1,100,000 currency units</t>
  </si>
  <si>
    <t>SLA Downtime Allowance</t>
  </si>
  <si>
    <t>Converts the percentage-based SLA commitment into an absolute monthly downtime budget. This is the operational constraint within which all RTO commitments must fit.</t>
  </si>
  <si>
    <t>43,200*(1 - 99.9/100) = 43.2 min/month for 99.9% SLA</t>
  </si>
  <si>
    <t>Single RTO as % of Allowance</t>
  </si>
  <si>
    <t>The single most important SLA health indicator. If one incident can consume more than 50% of the monthly allowance, the service is operationally fragile against that SLA.</t>
  </si>
  <si>
    <t>ROI of Recovery Improvement</t>
  </si>
  <si>
    <t>(CostAvoidance - InvestmentCost) / InvestmentCost * 100</t>
  </si>
  <si>
    <t>Frames resilience investment in financial terms. CostAvoidance equals the reduction in expected annual downtime cost resulting from the improvement.</t>
  </si>
  <si>
    <t>(1,100,000 - 500,000) / 500,000 * 100 = 120% ROI</t>
  </si>
  <si>
    <t>SECTION 1A : Core Service Profile</t>
  </si>
  <si>
    <t>SECTION 1B:  Computed Service Level Objectives  (read-only, automatically populated from Sheets 3 &amp; 5)</t>
  </si>
  <si>
    <t>SECTION 1C: Historical Parameter Changes</t>
  </si>
  <si>
    <t>SECTION 1D:  Sign-off and Authorization</t>
  </si>
  <si>
    <t>PARAMETERS  |  Input Values  -  All Calculations Depend on This Sheet</t>
  </si>
  <si>
    <t>TIME-BASED METRICS: Operational timings measured from incident history and monitoring systems</t>
  </si>
  <si>
    <t>FREQUENCY AND DATA METRICS: Backup cadence and failure rate inputs</t>
  </si>
  <si>
    <t>DEPENDENCY METRICS: Characterize the cascading services feeding this mother service</t>
  </si>
  <si>
    <t>QUALITATIVE PARAMETERS: Scored inputs reflecting operational context</t>
  </si>
  <si>
    <t>CUSTOMER OVERRIDE VALUES: Used only when CSR = 1</t>
  </si>
  <si>
    <t>Recovery Times for Dependencies - weighted avg (RTD)</t>
  </si>
  <si>
    <t>SECTION 3A: Recovery Time Objective (RTO)</t>
  </si>
  <si>
    <t>SECTION 3B: Dependent Systems Register  (upstream services feeding this mother service)</t>
  </si>
  <si>
    <t>SECTION 3C: Recovery Point Objective (RPO)</t>
  </si>
  <si>
    <t>SECTION 3D: Data Characteristics and Backup Configuration</t>
  </si>
  <si>
    <t>Adjusted RTO - Resource Factor</t>
  </si>
  <si>
    <t>Adjusted RTO - Criticality Factor</t>
  </si>
  <si>
    <t>Adjusted RPO - Resource Factor</t>
  </si>
  <si>
    <t>Adjusted RPO - Criticality Factor</t>
  </si>
  <si>
    <t>SECTION 4A: RTO Test Results</t>
  </si>
  <si>
    <t>RTO Risk Level - from test result row 13</t>
  </si>
  <si>
    <t>SECTION 4B: RTO Gap Analysis</t>
  </si>
  <si>
    <t>SECTION 4C:  RPO Test Results</t>
  </si>
  <si>
    <t>SECTION 4D: RPO Gap Analysis</t>
  </si>
  <si>
    <t>RPO Risk Level - from test result row 35</t>
  </si>
  <si>
    <t>SECTION 5A: Mean Time to Recovery (MTTR)  -  Target Calculation</t>
  </si>
  <si>
    <t>SECTION 5B: MTTR Historical Performance</t>
  </si>
  <si>
    <t>SECTION 5C: MTTR Phase Breakdown</t>
  </si>
  <si>
    <t>SECTION 5D: Mean Time Between Failures (MTBF)  -  Target Calculation</t>
  </si>
  <si>
    <t>SECTION 5E:  MTBF Historical Performance and Failure History</t>
  </si>
  <si>
    <t>SECTION 5F:  Failure Categorization</t>
  </si>
  <si>
    <t>Parameters - TTD</t>
  </si>
  <si>
    <t>1-3 scale</t>
  </si>
  <si>
    <t>1-4 scale</t>
  </si>
  <si>
    <t>1-5 scale</t>
  </si>
  <si>
    <t>Parameters - TTCR</t>
  </si>
  <si>
    <t>Parameters - TTVR</t>
  </si>
  <si>
    <t>Input - post-mortem data; Phase Sum should equal Base MTTR when complete</t>
  </si>
  <si>
    <t>SECTION 6A: Financial Impact Modelling</t>
  </si>
  <si>
    <t>Input - indirect costs per incident</t>
  </si>
  <si>
    <t>Input - from SLA contract</t>
  </si>
  <si>
    <t>SECTION 6B:  SLA Compliance Modelling</t>
  </si>
  <si>
    <t>SECTION 6C: Customer and Operational Impact</t>
  </si>
  <si>
    <t>SHORT-TERM ACTIONS  (0 - 30 days)</t>
  </si>
  <si>
    <t>MEDIUM-TERM ACTIONS  (1- 3 months)</t>
  </si>
  <si>
    <t>SECTION 8A: Glossary of Terms</t>
  </si>
  <si>
    <t>Recovery Time Objective - maximum acceptable time to restore service after an outage begins</t>
  </si>
  <si>
    <t>Recovery Point Objective - maximum acceptable data loss, measured as a time window</t>
  </si>
  <si>
    <t>Mean Time to Recovery - average time from incident detection to full service restoration</t>
  </si>
  <si>
    <t>Mean Time Between Failures - average elapsed time between service-impacting failures</t>
  </si>
  <si>
    <t>Time to Detect - elapsed time from failure occurrence to first alert acknowledgement</t>
  </si>
  <si>
    <t>Time to Initiate Recovery - from acknowledgement to first recovery action taken</t>
  </si>
  <si>
    <t>Time to Complete Recovery - duration of the active repair or restoration work</t>
  </si>
  <si>
    <t>Time to Validate Recovery - time to confirm the service is fully restored and healthy</t>
  </si>
  <si>
    <t>RTD * (1 + NCD * 0.05) - the minimum achievable RTO given all upstream recovery times</t>
  </si>
  <si>
    <t>SECTION 8B: RTO Tier Classifications</t>
  </si>
  <si>
    <t>SECTION 8C: RPO Tier Classifications</t>
  </si>
  <si>
    <t>0 - 4 hours</t>
  </si>
  <si>
    <t>4 - 12 hours</t>
  </si>
  <si>
    <t>12 - 24 hours</t>
  </si>
  <si>
    <t>SECTION 8D: Cost vs Recovery Capability Matrix</t>
  </si>
  <si>
    <t>0 - 15 minutes</t>
  </si>
  <si>
    <t>15 - 60 min</t>
  </si>
  <si>
    <t>1 - 4 hours</t>
  </si>
  <si>
    <t>1 - 4 hr RTO</t>
  </si>
  <si>
    <t>4 - 12 hr RTO</t>
  </si>
  <si>
    <t>SECTION 9A:  Recovery Time Objective Formulas</t>
  </si>
  <si>
    <t>Sums the three procedural recovery phases: initiation, completion, and validation. Detection (TTD) is excluded - it does not affect how long recovery takes, only when it starts.</t>
  </si>
  <si>
    <t>Customer contract override takes full precedence when CSR=1. The MAX() ensures the committed RTO is never set below the dependency floor - a physically impossible commitment otherwise.</t>
  </si>
  <si>
    <t>SECTION 9B: Recovery Point Objective Formulas</t>
  </si>
  <si>
    <t>SECTION 9C:  MTTR Formulas</t>
  </si>
  <si>
    <t>SECTION 9D:  MTBF Formulas</t>
  </si>
  <si>
    <t>FinalRTO=51.75, Allowance=43.2  -&gt;  120% - SLA breach on first incident</t>
  </si>
  <si>
    <t>SECTION 9E:  Financial and SLA Compliance Formulas</t>
  </si>
  <si>
    <t>Inverse of the daily incident rate. IFERROR with 9999 days prevents division-by-zero when a service has had no incidents - it does not imply the service is infinitely reliable.</t>
  </si>
  <si>
    <t>FORMULAE REFERENCE  |  All Formulas with Explanations and Worked 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</si>
</sst>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31" x14ac:knownFonts="1">
    <font>
      <sz val="11"/>
      <color theme="1"/>
      <name val="Calibri"/>
      <family val="2"/>
      <charset val="1"/>
    </font>
    <font>
      <b/>
      <sz val="12"/>
      <color rgb="FFFFFFFF"/>
      <name val="Calibri"/>
      <charset val="1"/>
    </font>
    <font>
      <sz val="9"/>
      <color rgb="FF0000CC"/>
      <name val="Calibri"/>
      <charset val="1"/>
    </font>
    <font>
      <i/>
      <sz val="8"/>
      <color rgb="FF595959"/>
      <name val="Calibri"/>
      <charset val="1"/>
    </font>
    <font>
      <sz val="9"/>
      <color rgb="FF000000"/>
      <name val="Calibri"/>
      <charset val="1"/>
    </font>
    <font>
      <sz val="9"/>
      <color rgb="FF006400"/>
      <name val="Calibri"/>
      <charset val="1"/>
    </font>
    <font>
      <sz val="9"/>
      <color rgb="FF595959"/>
      <name val="Calibri"/>
      <charset val="1"/>
    </font>
    <font>
      <i/>
      <sz val="9"/>
      <color rgb="FF595959"/>
      <name val="Calibri"/>
      <charset val="1"/>
    </font>
    <font>
      <sz val="9"/>
      <color rgb="FF595959"/>
      <name val="Calibri"/>
      <family val="2"/>
    </font>
    <font>
      <b/>
      <sz val="9"/>
      <color rgb="FF595959"/>
      <name val="Arial"/>
      <family val="2"/>
    </font>
    <font>
      <b/>
      <sz val="12"/>
      <color theme="0"/>
      <name val="Calibri"/>
      <family val="2"/>
    </font>
    <font>
      <b/>
      <sz val="9"/>
      <color theme="1"/>
      <name val="Calibri"/>
      <family val="2"/>
    </font>
    <font>
      <sz val="9"/>
      <color rgb="FF0000CC"/>
      <name val="Arial"/>
      <family val="2"/>
    </font>
    <font>
      <b/>
      <sz val="9"/>
      <color theme="1" tint="0.34998626667073579"/>
      <name val="Arial"/>
      <family val="2"/>
    </font>
    <font>
      <b/>
      <sz val="12"/>
      <color rgb="FFFFFFFF"/>
      <name val="Arial"/>
      <family val="2"/>
    </font>
    <font>
      <i/>
      <sz val="8"/>
      <color rgb="FF595959"/>
      <name val="Arial"/>
      <family val="2"/>
    </font>
    <font>
      <sz val="9"/>
      <color rgb="FF595959"/>
      <name val="Arial"/>
      <family val="2"/>
    </font>
    <font>
      <sz val="11"/>
      <color theme="1"/>
      <name val="Arial"/>
      <family val="2"/>
    </font>
    <font>
      <b/>
      <sz val="9"/>
      <color theme="1"/>
      <name val="Arial"/>
      <family val="2"/>
    </font>
    <font>
      <b/>
      <sz val="10"/>
      <color theme="1"/>
      <name val="Arial"/>
      <family val="2"/>
    </font>
    <font>
      <sz val="9"/>
      <color rgb="FF0000CC"/>
      <name val="Calibri"/>
      <family val="2"/>
    </font>
    <font>
      <sz val="9"/>
      <color rgb="FF000000"/>
      <name val="Arial"/>
      <family val="2"/>
    </font>
    <font>
      <b/>
      <sz val="9"/>
      <color rgb="FF000000"/>
      <name val="Arial"/>
      <family val="2"/>
    </font>
    <font>
      <i/>
      <sz val="9"/>
      <color rgb="FF595959"/>
      <name val="Arial"/>
      <family val="2"/>
    </font>
    <font>
      <sz val="9"/>
      <color rgb="FF006400"/>
      <name val="Arial"/>
      <family val="2"/>
    </font>
    <font>
      <b/>
      <sz val="9"/>
      <color rgb="FFFFFFFF"/>
      <name val="Arial"/>
      <family val="2"/>
    </font>
    <font>
      <sz val="9"/>
      <color rgb="FF4A6FA5"/>
      <name val="Arial"/>
      <family val="2"/>
    </font>
    <font>
      <b/>
      <sz val="9"/>
      <color theme="0"/>
      <name val="Arial"/>
      <family val="2"/>
    </font>
    <font>
      <b/>
      <sz val="10"/>
      <color theme="1"/>
      <name val="Calibri"/>
      <family val="2"/>
    </font>
    <font>
      <i/>
      <sz val="9"/>
      <color rgb="FF595959"/>
      <name val="Calibri"/>
      <family val="2"/>
    </font>
    <font>
      <b/>
      <sz val="12"/>
      <color rgb="FFFFFFFF"/>
      <name val="Calibri"/>
      <family val="2"/>
    </font>
  </fonts>
  <fills count="20">
    <fill>
      <patternFill patternType="none"/>
    </fill>
    <fill>
      <patternFill patternType="gray125"/>
    </fill>
    <fill>
      <patternFill patternType="solid">
        <fgColor rgb="FFF5F5F5"/>
        <bgColor rgb="FFEBF4FA"/>
      </patternFill>
    </fill>
    <fill>
      <patternFill patternType="solid">
        <fgColor rgb="FFEBF5FB"/>
        <bgColor rgb="FFEBF4FA"/>
      </patternFill>
    </fill>
    <fill>
      <patternFill patternType="solid">
        <fgColor rgb="FFFFFFFF"/>
        <bgColor rgb="FFF5F5F5"/>
      </patternFill>
    </fill>
    <fill>
      <patternFill patternType="solid">
        <fgColor rgb="FFEBF4FA"/>
        <bgColor rgb="FFEBF5FB"/>
      </patternFill>
    </fill>
    <fill>
      <patternFill patternType="solid">
        <fgColor rgb="FFD6E4F0"/>
        <bgColor rgb="FFD9D9D9"/>
      </patternFill>
    </fill>
    <fill>
      <patternFill patternType="solid">
        <fgColor rgb="FF4A5568"/>
        <bgColor rgb="FF2C3E50"/>
      </patternFill>
    </fill>
    <fill>
      <patternFill patternType="solid">
        <fgColor theme="2"/>
        <bgColor rgb="FF2E6DA4"/>
      </patternFill>
    </fill>
    <fill>
      <patternFill patternType="solid">
        <fgColor rgb="FFEBF5FB"/>
        <bgColor rgb="FFF5F5F5"/>
      </patternFill>
    </fill>
    <fill>
      <patternFill patternType="solid">
        <fgColor rgb="FFEBF5FB"/>
        <bgColor indexed="64"/>
      </patternFill>
    </fill>
    <fill>
      <patternFill patternType="solid">
        <fgColor theme="0"/>
        <bgColor rgb="FFEBF4FA"/>
      </patternFill>
    </fill>
    <fill>
      <patternFill patternType="solid">
        <fgColor rgb="FFF5F5F5"/>
        <bgColor indexed="64"/>
      </patternFill>
    </fill>
    <fill>
      <patternFill patternType="solid">
        <fgColor theme="3" tint="0.79998168889431442"/>
        <bgColor rgb="FF2C3E50"/>
      </patternFill>
    </fill>
    <fill>
      <patternFill patternType="solid">
        <fgColor rgb="FFF5F5F5"/>
        <bgColor rgb="FF2E6DA4"/>
      </patternFill>
    </fill>
    <fill>
      <patternFill patternType="solid">
        <fgColor theme="7" tint="0.39997558519241921"/>
        <bgColor rgb="FF2C3E50"/>
      </patternFill>
    </fill>
    <fill>
      <patternFill patternType="solid">
        <fgColor rgb="FFF5F5F5"/>
        <bgColor rgb="FFEBF5FB"/>
      </patternFill>
    </fill>
    <fill>
      <patternFill patternType="solid">
        <fgColor rgb="FFF5F5F5"/>
        <bgColor rgb="FFF5F5F5"/>
      </patternFill>
    </fill>
    <fill>
      <patternFill patternType="solid">
        <fgColor theme="2"/>
        <bgColor rgb="FF2C3E50"/>
      </patternFill>
    </fill>
    <fill>
      <patternFill patternType="solid">
        <fgColor theme="2"/>
        <bgColor rgb="FF4A4A4A"/>
      </patternFill>
    </fill>
  </fills>
  <borders count="45">
    <border>
      <left/>
      <right/>
      <top/>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theme="0" tint="-0.34998626667073579"/>
      </bottom>
      <diagonal/>
    </border>
    <border>
      <left style="thin">
        <color rgb="FFD9D9D9"/>
      </left>
      <right style="thin">
        <color theme="0" tint="-0.34998626667073579"/>
      </right>
      <top style="thin">
        <color theme="0" tint="-0.34998626667073579"/>
      </top>
      <bottom style="thin">
        <color rgb="FFD9D9D9"/>
      </bottom>
      <diagonal/>
    </border>
    <border>
      <left style="thin">
        <color rgb="FFD9D9D9"/>
      </left>
      <right style="thin">
        <color theme="0" tint="-0.34998626667073579"/>
      </right>
      <top style="thin">
        <color rgb="FFD9D9D9"/>
      </top>
      <bottom style="thin">
        <color theme="0" tint="-0.34998626667073579"/>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rgb="FFD9D9D9"/>
      </top>
      <bottom/>
      <diagonal/>
    </border>
    <border>
      <left style="thick">
        <color theme="0" tint="-0.34998626667073579"/>
      </left>
      <right/>
      <top style="thick">
        <color theme="0" tint="-0.34998626667073579"/>
      </top>
      <bottom style="thick">
        <color theme="0" tint="-0.34998626667073579"/>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n">
        <color rgb="FFFFFFFF"/>
      </left>
      <right style="thin">
        <color rgb="FFFFFFFF"/>
      </right>
      <top/>
      <bottom style="thin">
        <color rgb="FFFFFFFF"/>
      </bottom>
      <diagonal/>
    </border>
    <border>
      <left style="thin">
        <color rgb="FFD9D9D9"/>
      </left>
      <right style="thin">
        <color rgb="FFD9D9D9"/>
      </right>
      <top style="thin">
        <color rgb="FFD9D9D9"/>
      </top>
      <bottom/>
      <diagonal/>
    </border>
    <border>
      <left style="thin">
        <color rgb="FFFFFFFF"/>
      </left>
      <right style="thin">
        <color rgb="FFFFFFFF"/>
      </right>
      <top style="thin">
        <color rgb="FFFFFFFF"/>
      </top>
      <bottom/>
      <diagonal/>
    </border>
    <border>
      <left style="thick">
        <color theme="1" tint="0.499984740745262"/>
      </left>
      <right style="thin">
        <color theme="0" tint="-0.14999847407452621"/>
      </right>
      <top style="thick">
        <color theme="1" tint="0.499984740745262"/>
      </top>
      <bottom style="thick">
        <color theme="1" tint="0.499984740745262"/>
      </bottom>
      <diagonal/>
    </border>
    <border>
      <left style="thin">
        <color theme="0" tint="-0.14999847407452621"/>
      </left>
      <right style="thin">
        <color theme="0" tint="-0.14999847407452621"/>
      </right>
      <top style="thick">
        <color theme="1" tint="0.499984740745262"/>
      </top>
      <bottom style="thick">
        <color theme="1" tint="0.499984740745262"/>
      </bottom>
      <diagonal/>
    </border>
    <border>
      <left style="thin">
        <color theme="0" tint="-0.14999847407452621"/>
      </left>
      <right style="thick">
        <color theme="1" tint="0.499984740745262"/>
      </right>
      <top style="thick">
        <color theme="1" tint="0.499984740745262"/>
      </top>
      <bottom style="thick">
        <color theme="1" tint="0.499984740745262"/>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rgb="FFD9D9D9"/>
      </left>
      <right style="thin">
        <color theme="0" tint="-0.34998626667073579"/>
      </right>
      <top style="thin">
        <color rgb="FFD9D9D9"/>
      </top>
      <bottom style="thin">
        <color rgb="FFD9D9D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rgb="FFD9D9D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rgb="FFD9D9D9"/>
      </bottom>
      <diagonal/>
    </border>
    <border>
      <left style="thin">
        <color theme="0" tint="-0.34998626667073579"/>
      </left>
      <right style="thin">
        <color theme="0" tint="-0.34998626667073579"/>
      </right>
      <top style="thin">
        <color rgb="FFD9D9D9"/>
      </top>
      <bottom style="thin">
        <color theme="0" tint="-0.34998626667073579"/>
      </bottom>
      <diagonal/>
    </border>
    <border>
      <left style="thin">
        <color theme="0" tint="-0.34998626667073579"/>
      </left>
      <right style="thin">
        <color theme="0" tint="-0.34998626667073579"/>
      </right>
      <top/>
      <bottom style="thin">
        <color rgb="FFD9D9D9"/>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right style="thin">
        <color rgb="FFD9D9D9"/>
      </right>
      <top style="thin">
        <color rgb="FFD9D9D9"/>
      </top>
      <bottom style="thin">
        <color rgb="FFD9D9D9"/>
      </bottom>
      <diagonal/>
    </border>
    <border>
      <left style="thick">
        <color theme="0" tint="-0.499984740745262"/>
      </left>
      <right style="thin">
        <color rgb="FFFFFFFF"/>
      </right>
      <top style="thick">
        <color theme="0" tint="-0.499984740745262"/>
      </top>
      <bottom style="thick">
        <color theme="0" tint="-0.499984740745262"/>
      </bottom>
      <diagonal/>
    </border>
    <border>
      <left style="thin">
        <color rgb="FFFFFFFF"/>
      </left>
      <right style="thin">
        <color rgb="FFFFFFFF"/>
      </right>
      <top style="thick">
        <color theme="0" tint="-0.499984740745262"/>
      </top>
      <bottom style="thick">
        <color theme="0" tint="-0.499984740745262"/>
      </bottom>
      <diagonal/>
    </border>
    <border>
      <left style="thin">
        <color rgb="FFFFFFFF"/>
      </left>
      <right style="thick">
        <color theme="0" tint="-0.499984740745262"/>
      </right>
      <top style="thick">
        <color theme="0" tint="-0.499984740745262"/>
      </top>
      <bottom style="thick">
        <color theme="0" tint="-0.499984740745262"/>
      </bottom>
      <diagonal/>
    </border>
    <border>
      <left/>
      <right style="thin">
        <color theme="0" tint="-0.499984740745262"/>
      </right>
      <top style="thin">
        <color rgb="FFD9D9D9"/>
      </top>
      <bottom style="thin">
        <color theme="0" tint="-0.499984740745262"/>
      </bottom>
      <diagonal/>
    </border>
    <border>
      <left style="thin">
        <color rgb="FFD9D9D9"/>
      </left>
      <right style="thin">
        <color theme="0" tint="-0.499984740745262"/>
      </right>
      <top style="thin">
        <color rgb="FFD9D9D9"/>
      </top>
      <bottom style="thin">
        <color theme="0" tint="-0.499984740745262"/>
      </bottom>
      <diagonal/>
    </border>
    <border>
      <left style="thin">
        <color rgb="FFD9D9D9"/>
      </left>
      <right style="thin">
        <color theme="0" tint="-0.499984740745262"/>
      </right>
      <top style="thin">
        <color rgb="FFD9D9D9"/>
      </top>
      <bottom style="thin">
        <color rgb="FFD9D9D9"/>
      </bottom>
      <diagonal/>
    </border>
  </borders>
  <cellStyleXfs count="1">
    <xf numFmtId="0" fontId="0" fillId="0" borderId="0"/>
  </cellStyleXfs>
  <cellXfs count="164">
    <xf numFmtId="0" fontId="0" fillId="0" borderId="0" xfId="0"/>
    <xf numFmtId="0" fontId="3"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164" fontId="4" fillId="4" borderId="1" xfId="0" applyNumberFormat="1" applyFont="1" applyFill="1" applyBorder="1" applyAlignment="1">
      <alignment horizontal="left" vertical="center" wrapText="1"/>
    </xf>
    <xf numFmtId="0" fontId="5"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xf numFmtId="164" fontId="4" fillId="9" borderId="1" xfId="0" applyNumberFormat="1"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11" borderId="4" xfId="0" applyFont="1" applyFill="1" applyBorder="1" applyAlignment="1">
      <alignment horizontal="left" vertical="center" wrapText="1"/>
    </xf>
    <xf numFmtId="0" fontId="0" fillId="12" borderId="5" xfId="0" applyFill="1" applyBorder="1"/>
    <xf numFmtId="0" fontId="0" fillId="12" borderId="6" xfId="0" applyFill="1" applyBorder="1"/>
    <xf numFmtId="0" fontId="0" fillId="12" borderId="0" xfId="0" applyFill="1"/>
    <xf numFmtId="0" fontId="5" fillId="0" borderId="1" xfId="0" applyFont="1" applyBorder="1" applyAlignment="1">
      <alignment horizontal="left" vertical="center" wrapText="1"/>
    </xf>
    <xf numFmtId="0" fontId="4" fillId="9" borderId="1" xfId="0" applyFont="1" applyFill="1" applyBorder="1" applyAlignment="1">
      <alignment horizontal="left" vertical="center" wrapText="1"/>
    </xf>
    <xf numFmtId="0" fontId="0" fillId="12" borderId="7" xfId="0" applyFill="1" applyBorder="1"/>
    <xf numFmtId="0" fontId="0" fillId="12" borderId="8" xfId="0" applyFill="1" applyBorder="1"/>
    <xf numFmtId="0" fontId="5" fillId="5" borderId="3" xfId="0" applyFont="1" applyFill="1" applyBorder="1" applyAlignment="1">
      <alignment horizontal="left" vertical="center" wrapText="1"/>
    </xf>
    <xf numFmtId="0" fontId="11" fillId="13" borderId="12"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2" fillId="3" borderId="1" xfId="0" applyFont="1" applyFill="1" applyBorder="1"/>
    <xf numFmtId="0" fontId="15" fillId="5"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7" fillId="0" borderId="0" xfId="0" applyFont="1"/>
    <xf numFmtId="0" fontId="16" fillId="4" borderId="13"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12" fillId="3" borderId="1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2" fillId="3" borderId="13" xfId="0" applyFont="1" applyFill="1" applyBorder="1"/>
    <xf numFmtId="0" fontId="15" fillId="4" borderId="13"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2" fillId="3" borderId="3" xfId="0" applyFont="1" applyFill="1" applyBorder="1"/>
    <xf numFmtId="0" fontId="15" fillId="5" borderId="3" xfId="0" applyFont="1" applyFill="1" applyBorder="1" applyAlignment="1">
      <alignment horizontal="left" vertical="center" wrapText="1"/>
    </xf>
    <xf numFmtId="0" fontId="18" fillId="13" borderId="14" xfId="0" applyFont="1" applyFill="1" applyBorder="1" applyAlignment="1">
      <alignment horizontal="center" vertical="center" wrapText="1"/>
    </xf>
    <xf numFmtId="0" fontId="16" fillId="5" borderId="13"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6" fillId="5" borderId="13" xfId="0" applyFont="1" applyFill="1" applyBorder="1" applyAlignment="1">
      <alignment horizontal="center" vertical="center" wrapText="1"/>
    </xf>
    <xf numFmtId="0" fontId="15" fillId="5" borderId="13" xfId="0" applyFont="1" applyFill="1" applyBorder="1" applyAlignment="1">
      <alignment horizontal="left" vertical="center" wrapText="1"/>
    </xf>
    <xf numFmtId="0" fontId="20" fillId="11" borderId="1"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21" fillId="4"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18" fillId="13" borderId="12" xfId="0" applyFont="1" applyFill="1" applyBorder="1" applyAlignment="1">
      <alignment horizontal="center" vertical="center" wrapText="1"/>
    </xf>
    <xf numFmtId="0" fontId="12" fillId="0" borderId="1" xfId="0" applyFont="1" applyBorder="1" applyAlignment="1">
      <alignment horizontal="left" vertical="center" wrapText="1"/>
    </xf>
    <xf numFmtId="0" fontId="18" fillId="13" borderId="22" xfId="0" applyFont="1" applyFill="1" applyBorder="1" applyAlignment="1">
      <alignment horizontal="center" vertical="center" wrapText="1"/>
    </xf>
    <xf numFmtId="0" fontId="17" fillId="0" borderId="24" xfId="0" applyFont="1" applyBorder="1"/>
    <xf numFmtId="0" fontId="17" fillId="0" borderId="27" xfId="0" applyFont="1" applyBorder="1"/>
    <xf numFmtId="0" fontId="17" fillId="0" borderId="28" xfId="0" applyFont="1" applyBorder="1"/>
    <xf numFmtId="0" fontId="24" fillId="5" borderId="26"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33" xfId="0" applyFont="1" applyFill="1" applyBorder="1" applyAlignment="1">
      <alignment horizontal="left" vertical="center" wrapText="1"/>
    </xf>
    <xf numFmtId="0" fontId="17" fillId="12" borderId="21" xfId="0" applyFont="1" applyFill="1" applyBorder="1"/>
    <xf numFmtId="0" fontId="17" fillId="12" borderId="23" xfId="0" applyFont="1" applyFill="1" applyBorder="1"/>
    <xf numFmtId="0" fontId="17" fillId="12" borderId="25" xfId="0" applyFont="1" applyFill="1" applyBorder="1"/>
    <xf numFmtId="0" fontId="21" fillId="9" borderId="1" xfId="0" applyFont="1" applyFill="1" applyBorder="1" applyAlignment="1">
      <alignment horizontal="left" vertical="center" wrapText="1"/>
    </xf>
    <xf numFmtId="0" fontId="12" fillId="0" borderId="3" xfId="0" applyFont="1" applyBorder="1" applyAlignment="1">
      <alignment horizontal="left" vertical="center" wrapText="1"/>
    </xf>
    <xf numFmtId="0" fontId="15" fillId="2" borderId="3" xfId="0" applyFont="1" applyFill="1" applyBorder="1" applyAlignment="1">
      <alignment horizontal="left" vertical="center" wrapText="1"/>
    </xf>
    <xf numFmtId="0" fontId="16" fillId="2" borderId="3" xfId="0" applyFont="1" applyFill="1" applyBorder="1" applyAlignment="1">
      <alignment horizontal="center" vertical="center" wrapText="1"/>
    </xf>
    <xf numFmtId="0" fontId="21" fillId="4" borderId="3"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17" fillId="5" borderId="1" xfId="0" applyFont="1" applyFill="1" applyBorder="1"/>
    <xf numFmtId="0" fontId="17" fillId="4" borderId="1" xfId="0" applyFont="1" applyFill="1" applyBorder="1"/>
    <xf numFmtId="0" fontId="24" fillId="5" borderId="1" xfId="0" applyFont="1" applyFill="1" applyBorder="1" applyAlignment="1">
      <alignment horizontal="left" vertical="center" wrapText="1"/>
    </xf>
    <xf numFmtId="165" fontId="21" fillId="4" borderId="1" xfId="0" applyNumberFormat="1" applyFont="1" applyFill="1" applyBorder="1" applyAlignment="1">
      <alignment horizontal="center" vertical="center" wrapText="1"/>
    </xf>
    <xf numFmtId="0" fontId="26" fillId="5"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165" fontId="22" fillId="6" borderId="1" xfId="0" applyNumberFormat="1" applyFont="1" applyFill="1" applyBorder="1" applyAlignment="1">
      <alignment horizontal="center" vertical="center" wrapText="1"/>
    </xf>
    <xf numFmtId="0" fontId="15" fillId="5" borderId="1" xfId="0" applyFont="1" applyFill="1" applyBorder="1" applyAlignment="1">
      <alignment vertical="center" wrapText="1"/>
    </xf>
    <xf numFmtId="0" fontId="15" fillId="4" borderId="1" xfId="0" applyFont="1" applyFill="1" applyBorder="1" applyAlignment="1">
      <alignment vertical="center" wrapText="1"/>
    </xf>
    <xf numFmtId="0" fontId="15" fillId="2" borderId="2" xfId="0" applyFont="1" applyFill="1" applyBorder="1" applyAlignment="1">
      <alignment vertical="center" wrapText="1"/>
    </xf>
    <xf numFmtId="0" fontId="16" fillId="16" borderId="1" xfId="0" applyFont="1" applyFill="1" applyBorder="1" applyAlignment="1">
      <alignment horizontal="left" vertical="center" wrapText="1"/>
    </xf>
    <xf numFmtId="0" fontId="16" fillId="17"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21" fillId="0" borderId="1" xfId="0" applyFont="1" applyBorder="1" applyAlignment="1">
      <alignment horizontal="left" vertical="center" wrapText="1"/>
    </xf>
    <xf numFmtId="0" fontId="22" fillId="6" borderId="38" xfId="0" applyFont="1" applyFill="1" applyBorder="1" applyAlignment="1">
      <alignment horizontal="center" vertical="center" wrapText="1"/>
    </xf>
    <xf numFmtId="0" fontId="25" fillId="15" borderId="34"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7" fillId="0" borderId="42" xfId="0" applyFont="1" applyBorder="1"/>
    <xf numFmtId="0" fontId="17" fillId="5" borderId="38" xfId="0" applyFont="1" applyFill="1" applyBorder="1"/>
    <xf numFmtId="0" fontId="26" fillId="5" borderId="44" xfId="0" applyFont="1" applyFill="1" applyBorder="1" applyAlignment="1">
      <alignment horizontal="left" vertical="center" wrapText="1"/>
    </xf>
    <xf numFmtId="0" fontId="17" fillId="0" borderId="43" xfId="0" applyFont="1" applyBorder="1"/>
    <xf numFmtId="0" fontId="16" fillId="2" borderId="3" xfId="0" applyFont="1" applyFill="1" applyBorder="1" applyAlignment="1">
      <alignment horizontal="left" vertical="center" wrapText="1"/>
    </xf>
    <xf numFmtId="0" fontId="24" fillId="0" borderId="3" xfId="0" applyFont="1" applyBorder="1" applyAlignment="1">
      <alignment horizontal="left" vertical="center" wrapText="1"/>
    </xf>
    <xf numFmtId="0" fontId="24" fillId="0" borderId="1" xfId="0" applyFont="1" applyBorder="1" applyAlignment="1">
      <alignment horizontal="left" vertical="center" wrapText="1"/>
    </xf>
    <xf numFmtId="0" fontId="19" fillId="8"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0" fillId="7" borderId="0" xfId="0" applyFont="1" applyFill="1" applyAlignment="1">
      <alignment horizontal="center" vertical="center" wrapText="1"/>
    </xf>
    <xf numFmtId="0" fontId="14" fillId="7" borderId="0" xfId="0" applyFont="1" applyFill="1" applyAlignment="1">
      <alignment horizontal="center" vertical="center" wrapText="1"/>
    </xf>
    <xf numFmtId="0" fontId="15" fillId="2" borderId="0" xfId="0" applyFont="1" applyFill="1"/>
    <xf numFmtId="0" fontId="19" fillId="14" borderId="15" xfId="0" applyFont="1" applyFill="1" applyBorder="1" applyAlignment="1">
      <alignment horizontal="center" vertical="center" wrapText="1"/>
    </xf>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19" fillId="14" borderId="18" xfId="0" applyFont="1" applyFill="1" applyBorder="1" applyAlignment="1">
      <alignment horizontal="center" vertical="center" wrapText="1"/>
    </xf>
    <xf numFmtId="0" fontId="19" fillId="14" borderId="19" xfId="0" applyFont="1" applyFill="1" applyBorder="1" applyAlignment="1">
      <alignment horizontal="center" vertical="center" wrapText="1"/>
    </xf>
    <xf numFmtId="0" fontId="19" fillId="14" borderId="20" xfId="0" applyFont="1" applyFill="1" applyBorder="1" applyAlignment="1">
      <alignment horizontal="center" vertical="center" wrapText="1"/>
    </xf>
    <xf numFmtId="0" fontId="27" fillId="15" borderId="39" xfId="0" applyFont="1" applyFill="1" applyBorder="1" applyAlignment="1">
      <alignment horizontal="left" vertical="center" wrapText="1"/>
    </xf>
    <xf numFmtId="0" fontId="27" fillId="15" borderId="40" xfId="0" applyFont="1" applyFill="1" applyBorder="1" applyAlignment="1">
      <alignment horizontal="left" vertical="center" wrapText="1"/>
    </xf>
    <xf numFmtId="0" fontId="27" fillId="15" borderId="41" xfId="0" applyFont="1" applyFill="1" applyBorder="1" applyAlignment="1">
      <alignment horizontal="left" vertical="center" wrapText="1"/>
    </xf>
    <xf numFmtId="0" fontId="19" fillId="8" borderId="35"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37" xfId="0" applyFont="1" applyFill="1" applyBorder="1" applyAlignment="1">
      <alignment horizontal="center" vertical="center" wrapText="1"/>
    </xf>
    <xf numFmtId="0" fontId="3" fillId="2" borderId="0" xfId="0" applyFont="1" applyFill="1"/>
    <xf numFmtId="9" fontId="12" fillId="3"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21"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9" fontId="21" fillId="4" borderId="1" xfId="0" applyNumberFormat="1" applyFont="1" applyFill="1" applyBorder="1" applyAlignment="1">
      <alignment horizontal="center" vertical="center" wrapText="1"/>
    </xf>
    <xf numFmtId="0" fontId="19" fillId="18" borderId="35" xfId="0" applyFont="1" applyFill="1" applyBorder="1" applyAlignment="1">
      <alignment horizontal="center" vertical="center" wrapText="1"/>
    </xf>
    <xf numFmtId="0" fontId="19" fillId="18" borderId="36" xfId="0" applyFont="1" applyFill="1" applyBorder="1" applyAlignment="1">
      <alignment horizontal="center" vertical="center" wrapText="1"/>
    </xf>
    <xf numFmtId="0" fontId="19" fillId="18" borderId="37" xfId="0" applyFont="1" applyFill="1" applyBorder="1" applyAlignment="1">
      <alignment horizontal="center" vertical="center" wrapText="1"/>
    </xf>
    <xf numFmtId="0" fontId="19" fillId="19" borderId="35" xfId="0" applyFont="1" applyFill="1" applyBorder="1" applyAlignment="1">
      <alignment horizontal="center" vertical="center" wrapText="1"/>
    </xf>
    <xf numFmtId="0" fontId="19" fillId="19" borderId="36" xfId="0" applyFont="1" applyFill="1" applyBorder="1" applyAlignment="1">
      <alignment horizontal="center" vertical="center" wrapText="1"/>
    </xf>
    <xf numFmtId="0" fontId="19" fillId="19" borderId="37"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21" fillId="4"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9" fillId="8" borderId="35" xfId="0" applyFont="1" applyFill="1" applyBorder="1" applyAlignment="1">
      <alignment horizontal="left" vertical="center" wrapText="1"/>
    </xf>
    <xf numFmtId="0" fontId="19" fillId="8" borderId="36" xfId="0" applyFont="1" applyFill="1" applyBorder="1" applyAlignment="1">
      <alignment horizontal="left" vertical="center" wrapText="1"/>
    </xf>
    <xf numFmtId="0" fontId="19" fillId="8" borderId="37" xfId="0" applyFont="1" applyFill="1" applyBorder="1" applyAlignment="1">
      <alignment horizontal="left" vertical="center" wrapText="1"/>
    </xf>
    <xf numFmtId="0" fontId="1" fillId="7" borderId="0" xfId="0" applyFont="1" applyFill="1" applyAlignment="1">
      <alignment horizontal="center" vertical="center" wrapText="1"/>
    </xf>
    <xf numFmtId="0" fontId="28" fillId="8" borderId="35" xfId="0" applyFont="1" applyFill="1" applyBorder="1" applyAlignment="1">
      <alignment horizontal="center" vertical="center" wrapText="1"/>
    </xf>
    <xf numFmtId="0" fontId="28" fillId="8" borderId="36" xfId="0" applyFont="1" applyFill="1" applyBorder="1" applyAlignment="1">
      <alignment horizontal="center" vertical="center" wrapText="1"/>
    </xf>
    <xf numFmtId="0" fontId="28" fillId="8" borderId="37"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9" fillId="5" borderId="1" xfId="0" applyFont="1" applyFill="1" applyBorder="1" applyAlignment="1">
      <alignment horizontal="left" vertical="center" wrapText="1"/>
    </xf>
    <xf numFmtId="0" fontId="30" fillId="7"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CC"/>
      <rgbColor rgb="FFFFFF00"/>
      <rgbColor rgb="FFFF00FF"/>
      <rgbColor rgb="FF00FFFF"/>
      <rgbColor rgb="FF800000"/>
      <rgbColor rgb="FF006400"/>
      <rgbColor rgb="FF000080"/>
      <rgbColor rgb="FF7D4E00"/>
      <rgbColor rgb="FF800080"/>
      <rgbColor rgb="FF1E6B4A"/>
      <rgbColor rgb="FFC0C0C0"/>
      <rgbColor rgb="FF595959"/>
      <rgbColor rgb="FF9999FF"/>
      <rgbColor rgb="FF993366"/>
      <rgbColor rgb="FFF5F5F5"/>
      <rgbColor rgb="FFEBF5FB"/>
      <rgbColor rgb="FF5B2C6F"/>
      <rgbColor rgb="FFFF8080"/>
      <rgbColor rgb="FF2E6DA4"/>
      <rgbColor rgb="FFD9D9D9"/>
      <rgbColor rgb="FF000080"/>
      <rgbColor rgb="FFFF00FF"/>
      <rgbColor rgb="FFFFFF00"/>
      <rgbColor rgb="FF00FFFF"/>
      <rgbColor rgb="FF800080"/>
      <rgbColor rgb="FF800000"/>
      <rgbColor rgb="FF008080"/>
      <rgbColor rgb="FF0000FF"/>
      <rgbColor rgb="FF00CCFF"/>
      <rgbColor rgb="FFEBF4FA"/>
      <rgbColor rgb="FFD6E4F0"/>
      <rgbColor rgb="FFFFFF99"/>
      <rgbColor rgb="FF99CCFF"/>
      <rgbColor rgb="FFFF99CC"/>
      <rgbColor rgb="FFCC99FF"/>
      <rgbColor rgb="FFFFCC99"/>
      <rgbColor rgb="FF3366FF"/>
      <rgbColor rgb="FF33CCCC"/>
      <rgbColor rgb="FF99CC00"/>
      <rgbColor rgb="FFFFCC00"/>
      <rgbColor rgb="FFFF9900"/>
      <rgbColor rgb="FFFF6600"/>
      <rgbColor rgb="FF4A6FA5"/>
      <rgbColor rgb="FF969696"/>
      <rgbColor rgb="FF1B2A4A"/>
      <rgbColor rgb="FF339966"/>
      <rgbColor rgb="FF003300"/>
      <rgbColor rgb="FF4A4A4A"/>
      <rgbColor rgb="FF8E1A0E"/>
      <rgbColor rgb="FF993366"/>
      <rgbColor rgb="FF2E4272"/>
      <rgbColor rgb="FF2C3E50"/>
      <rgbColor rgb="00003366"/>
      <rgbColor rgb="00339966"/>
      <rgbColor rgb="00003300"/>
      <rgbColor rgb="00333300"/>
      <rgbColor rgb="00993300"/>
      <rgbColor rgb="00993366"/>
      <rgbColor rgb="00333399"/>
      <rgbColor rgb="00333333"/>
    </indexedColors>
    <mruColors>
      <color rgb="FF4A5568"/>
      <color rgb="FFEBF5FB"/>
      <color rgb="FFF5F5F5"/>
      <color rgb="FF1514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showGridLines="0" zoomScaleNormal="100" workbookViewId="0">
      <pane ySplit="1" topLeftCell="A2" activePane="bottomLeft" state="frozen"/>
      <selection pane="bottomLeft" activeCell="B14" sqref="B14"/>
    </sheetView>
  </sheetViews>
  <sheetFormatPr defaultColWidth="8.6640625" defaultRowHeight="14.25" x14ac:dyDescent="0.45"/>
  <cols>
    <col min="1" max="1" width="36" customWidth="1"/>
    <col min="2" max="2" width="38" customWidth="1"/>
    <col min="3" max="3" width="42" customWidth="1"/>
    <col min="4" max="4" width="24" customWidth="1"/>
    <col min="5" max="5" width="22" customWidth="1"/>
  </cols>
  <sheetData>
    <row r="1" spans="1:3" ht="25.5" customHeight="1" thickBot="1" x14ac:dyDescent="0.5">
      <c r="A1" s="123" t="s">
        <v>0</v>
      </c>
      <c r="B1" s="123"/>
      <c r="C1" s="123"/>
    </row>
    <row r="2" spans="1:3" ht="18" customHeight="1" thickTop="1" thickBot="1" x14ac:dyDescent="0.5">
      <c r="A2" s="120" t="s">
        <v>474</v>
      </c>
      <c r="B2" s="121"/>
      <c r="C2" s="122"/>
    </row>
    <row r="3" spans="1:3" ht="15.75" customHeight="1" thickTop="1" x14ac:dyDescent="0.45">
      <c r="A3" s="31" t="s">
        <v>1</v>
      </c>
      <c r="B3" s="63"/>
      <c r="C3" s="19" t="s">
        <v>2</v>
      </c>
    </row>
    <row r="4" spans="1:3" ht="15.75" customHeight="1" x14ac:dyDescent="0.45">
      <c r="A4" s="14" t="s">
        <v>3</v>
      </c>
      <c r="B4" s="62"/>
      <c r="C4" s="1" t="s">
        <v>4</v>
      </c>
    </row>
    <row r="5" spans="1:3" ht="15.75" customHeight="1" x14ac:dyDescent="0.45">
      <c r="A5" s="14" t="s">
        <v>5</v>
      </c>
      <c r="B5" s="2"/>
      <c r="C5" s="1" t="s">
        <v>6</v>
      </c>
    </row>
    <row r="6" spans="1:3" ht="15.75" customHeight="1" x14ac:dyDescent="0.45">
      <c r="A6" s="14" t="s">
        <v>7</v>
      </c>
      <c r="B6" s="18"/>
      <c r="C6" s="1" t="s">
        <v>8</v>
      </c>
    </row>
    <row r="7" spans="1:3" ht="25.5" customHeight="1" x14ac:dyDescent="0.45">
      <c r="A7" s="14" t="s">
        <v>9</v>
      </c>
      <c r="B7" s="2"/>
      <c r="C7" s="1" t="s">
        <v>10</v>
      </c>
    </row>
    <row r="8" spans="1:3" ht="15.75" customHeight="1" x14ac:dyDescent="0.45">
      <c r="A8" s="14" t="s">
        <v>11</v>
      </c>
      <c r="B8" s="21"/>
      <c r="C8" s="23"/>
    </row>
    <row r="9" spans="1:3" ht="15.75" customHeight="1" x14ac:dyDescent="0.45">
      <c r="A9" s="14" t="s">
        <v>12</v>
      </c>
      <c r="B9" s="20"/>
      <c r="C9" s="22"/>
    </row>
    <row r="10" spans="1:3" ht="15.75" customHeight="1" x14ac:dyDescent="0.45">
      <c r="A10" s="14" t="s">
        <v>13</v>
      </c>
      <c r="B10" s="18"/>
      <c r="C10" s="1" t="s">
        <v>14</v>
      </c>
    </row>
    <row r="11" spans="1:3" ht="15.75" customHeight="1" x14ac:dyDescent="0.45">
      <c r="A11" s="14" t="s">
        <v>15</v>
      </c>
      <c r="B11" s="2"/>
      <c r="C11" s="1" t="s">
        <v>14</v>
      </c>
    </row>
    <row r="12" spans="1:3" ht="15.75" customHeight="1" x14ac:dyDescent="0.45">
      <c r="A12" s="14" t="s">
        <v>16</v>
      </c>
      <c r="B12" s="15"/>
      <c r="C12" s="1" t="s">
        <v>17</v>
      </c>
    </row>
    <row r="13" spans="1:3" ht="15.75" customHeight="1" x14ac:dyDescent="0.45">
      <c r="A13" s="14" t="s">
        <v>18</v>
      </c>
      <c r="B13" s="17"/>
      <c r="C13" s="1" t="s">
        <v>19</v>
      </c>
    </row>
    <row r="14" spans="1:3" ht="15.75" customHeight="1" x14ac:dyDescent="0.45">
      <c r="A14" s="14" t="s">
        <v>20</v>
      </c>
      <c r="B14" s="3" t="str">
        <f>IF(B13="","",ROUND((1-(B13/100))*60*24*30,1))</f>
        <v/>
      </c>
      <c r="C14" s="1" t="s">
        <v>21</v>
      </c>
    </row>
    <row r="15" spans="1:3" ht="15.75" customHeight="1" x14ac:dyDescent="0.45">
      <c r="A15" s="14" t="s">
        <v>22</v>
      </c>
      <c r="B15" s="16">
        <f ca="1">TODAY()</f>
        <v>46188</v>
      </c>
      <c r="C15" s="1" t="s">
        <v>23</v>
      </c>
    </row>
    <row r="16" spans="1:3" ht="15.75" customHeight="1" x14ac:dyDescent="0.45">
      <c r="A16" s="14" t="s">
        <v>24</v>
      </c>
      <c r="B16" s="4">
        <f ca="1">B15+90</f>
        <v>46278</v>
      </c>
      <c r="C16" s="1" t="s">
        <v>25</v>
      </c>
    </row>
    <row r="17" spans="1:5" ht="15.75" customHeight="1" x14ac:dyDescent="0.45">
      <c r="A17" s="14" t="s">
        <v>26</v>
      </c>
      <c r="B17" s="2"/>
      <c r="C17" s="1" t="s">
        <v>27</v>
      </c>
    </row>
    <row r="18" spans="1:5" ht="14.65" thickBot="1" x14ac:dyDescent="0.5"/>
    <row r="19" spans="1:5" ht="18" customHeight="1" thickTop="1" thickBot="1" x14ac:dyDescent="0.5">
      <c r="A19" s="120" t="s">
        <v>475</v>
      </c>
      <c r="B19" s="121"/>
      <c r="C19" s="122"/>
    </row>
    <row r="20" spans="1:5" ht="15.75" customHeight="1" thickTop="1" x14ac:dyDescent="0.45">
      <c r="A20" s="31" t="s">
        <v>28</v>
      </c>
      <c r="B20" s="29">
        <f>'Recovery Objectives'!B8</f>
        <v>51.749999999999993</v>
      </c>
      <c r="C20" s="19" t="s">
        <v>29</v>
      </c>
    </row>
    <row r="21" spans="1:5" ht="15.75" customHeight="1" x14ac:dyDescent="0.45">
      <c r="A21" s="14" t="s">
        <v>30</v>
      </c>
      <c r="B21" s="3">
        <f>ROUND(B20/60,1)</f>
        <v>0.9</v>
      </c>
      <c r="C21" s="23"/>
    </row>
    <row r="22" spans="1:5" ht="15.75" customHeight="1" x14ac:dyDescent="0.45">
      <c r="A22" s="14" t="s">
        <v>31</v>
      </c>
      <c r="B22" s="5" t="str">
        <f>'Recovery Objectives'!B10</f>
        <v>Tier 1 - Mission Critical: 0-4 hours</v>
      </c>
      <c r="C22" s="27"/>
    </row>
    <row r="23" spans="1:5" ht="15.75" customHeight="1" x14ac:dyDescent="0.45">
      <c r="A23" s="14" t="s">
        <v>32</v>
      </c>
      <c r="B23" s="25">
        <f>'Recovery Objectives'!B26</f>
        <v>4.3822916666666671</v>
      </c>
      <c r="C23" s="1" t="s">
        <v>33</v>
      </c>
    </row>
    <row r="24" spans="1:5" ht="15.75" customHeight="1" x14ac:dyDescent="0.45">
      <c r="A24" s="14" t="s">
        <v>34</v>
      </c>
      <c r="B24" s="26">
        <f>ROUND(B23/60,1)</f>
        <v>0.1</v>
      </c>
      <c r="C24" s="28"/>
    </row>
    <row r="25" spans="1:5" ht="15.75" customHeight="1" x14ac:dyDescent="0.45">
      <c r="A25" s="14" t="s">
        <v>35</v>
      </c>
      <c r="B25" s="25" t="str">
        <f>'Recovery Objectives'!B28</f>
        <v>Tier 1 - No Data Loss: 0-15 minutes</v>
      </c>
      <c r="C25" s="22"/>
    </row>
    <row r="26" spans="1:5" ht="15.75" customHeight="1" x14ac:dyDescent="0.45">
      <c r="A26" s="14" t="s">
        <v>36</v>
      </c>
      <c r="B26" s="5">
        <f>'Performance Metrics'!B7</f>
        <v>225</v>
      </c>
      <c r="C26" s="1" t="s">
        <v>37</v>
      </c>
    </row>
    <row r="27" spans="1:5" ht="15.75" customHeight="1" x14ac:dyDescent="0.45">
      <c r="A27" s="14" t="s">
        <v>38</v>
      </c>
      <c r="B27" s="3">
        <f>ROUND(B26/60,1)</f>
        <v>3.8</v>
      </c>
      <c r="C27" s="24"/>
    </row>
    <row r="28" spans="1:5" ht="15.75" customHeight="1" x14ac:dyDescent="0.45">
      <c r="A28" s="14" t="s">
        <v>39</v>
      </c>
      <c r="B28" s="5">
        <f>'Performance Metrics'!B30</f>
        <v>30.303030303030305</v>
      </c>
      <c r="C28" s="1" t="s">
        <v>40</v>
      </c>
    </row>
    <row r="29" spans="1:5" ht="15.75" customHeight="1" x14ac:dyDescent="0.45">
      <c r="A29" s="14" t="s">
        <v>41</v>
      </c>
      <c r="B29" s="25">
        <f>'Recovery Objectives'!B4</f>
        <v>51.749999999999993</v>
      </c>
      <c r="C29" s="1" t="s">
        <v>42</v>
      </c>
    </row>
    <row r="30" spans="1:5" ht="25.9" customHeight="1" x14ac:dyDescent="0.45">
      <c r="A30" s="14" t="s">
        <v>43</v>
      </c>
      <c r="B30" s="26" t="str">
        <f>IF(B20&gt;=B29,"Feasible","RTO is below the dependency floor — review Parameters")</f>
        <v>Feasible</v>
      </c>
      <c r="C30" s="1" t="s">
        <v>44</v>
      </c>
    </row>
    <row r="31" spans="1:5" ht="14.65" thickBot="1" x14ac:dyDescent="0.5"/>
    <row r="32" spans="1:5" ht="18" customHeight="1" thickTop="1" thickBot="1" x14ac:dyDescent="0.5">
      <c r="A32" s="120" t="s">
        <v>476</v>
      </c>
      <c r="B32" s="121"/>
      <c r="C32" s="121"/>
      <c r="D32" s="121"/>
      <c r="E32" s="122"/>
    </row>
    <row r="33" spans="1:5" ht="15" customHeight="1" thickTop="1" x14ac:dyDescent="0.45">
      <c r="A33" s="30" t="s">
        <v>45</v>
      </c>
      <c r="B33" s="30" t="s">
        <v>46</v>
      </c>
      <c r="C33" s="30" t="s">
        <v>47</v>
      </c>
      <c r="D33" s="30" t="s">
        <v>48</v>
      </c>
      <c r="E33" s="30" t="s">
        <v>49</v>
      </c>
    </row>
    <row r="34" spans="1:5" ht="15" customHeight="1" x14ac:dyDescent="0.45">
      <c r="A34" s="32" t="s">
        <v>50</v>
      </c>
      <c r="B34" s="6"/>
      <c r="C34" s="6"/>
      <c r="D34" s="6"/>
      <c r="E34" s="6"/>
    </row>
    <row r="35" spans="1:5" ht="15" customHeight="1" x14ac:dyDescent="0.45">
      <c r="A35" s="33" t="s">
        <v>51</v>
      </c>
      <c r="B35" s="7"/>
      <c r="C35" s="7"/>
      <c r="D35" s="7"/>
      <c r="E35" s="7"/>
    </row>
    <row r="36" spans="1:5" ht="15" customHeight="1" x14ac:dyDescent="0.45">
      <c r="A36" s="32" t="s">
        <v>52</v>
      </c>
      <c r="B36" s="6"/>
      <c r="C36" s="6"/>
      <c r="D36" s="6"/>
      <c r="E36" s="6"/>
    </row>
    <row r="37" spans="1:5" ht="15" customHeight="1" x14ac:dyDescent="0.45">
      <c r="A37" s="33" t="s">
        <v>53</v>
      </c>
      <c r="B37" s="7"/>
      <c r="C37" s="7"/>
      <c r="D37" s="7"/>
      <c r="E37" s="7"/>
    </row>
    <row r="38" spans="1:5" ht="15" customHeight="1" x14ac:dyDescent="0.45">
      <c r="A38" s="32" t="s">
        <v>54</v>
      </c>
      <c r="B38" s="6"/>
      <c r="C38" s="6"/>
      <c r="D38" s="6"/>
      <c r="E38" s="6"/>
    </row>
    <row r="39" spans="1:5" ht="14.65" thickBot="1" x14ac:dyDescent="0.5"/>
    <row r="40" spans="1:5" ht="18" customHeight="1" thickTop="1" thickBot="1" x14ac:dyDescent="0.5">
      <c r="A40" s="120" t="s">
        <v>477</v>
      </c>
      <c r="B40" s="121"/>
      <c r="C40" s="121"/>
      <c r="D40" s="121"/>
      <c r="E40" s="122"/>
    </row>
    <row r="41" spans="1:5" ht="15" customHeight="1" thickTop="1" x14ac:dyDescent="0.45">
      <c r="A41" s="30" t="s">
        <v>55</v>
      </c>
      <c r="B41" s="30" t="s">
        <v>56</v>
      </c>
      <c r="C41" s="30" t="s">
        <v>57</v>
      </c>
      <c r="D41" s="30" t="s">
        <v>58</v>
      </c>
      <c r="E41" s="30" t="s">
        <v>59</v>
      </c>
    </row>
    <row r="42" spans="1:5" ht="15" customHeight="1" x14ac:dyDescent="0.45">
      <c r="A42" s="32" t="s">
        <v>60</v>
      </c>
      <c r="B42" s="6"/>
      <c r="C42" s="6"/>
      <c r="D42" s="6"/>
      <c r="E42" s="6"/>
    </row>
    <row r="43" spans="1:5" ht="15" customHeight="1" x14ac:dyDescent="0.45">
      <c r="A43" s="33" t="s">
        <v>61</v>
      </c>
      <c r="B43" s="7"/>
      <c r="C43" s="7"/>
      <c r="D43" s="7"/>
      <c r="E43" s="7"/>
    </row>
    <row r="44" spans="1:5" ht="15" customHeight="1" x14ac:dyDescent="0.45">
      <c r="A44" s="32" t="s">
        <v>62</v>
      </c>
      <c r="B44" s="6"/>
      <c r="C44" s="6"/>
      <c r="D44" s="6"/>
      <c r="E44" s="6"/>
    </row>
  </sheetData>
  <mergeCells count="5">
    <mergeCell ref="A32:E32"/>
    <mergeCell ref="A40:E40"/>
    <mergeCell ref="A2:C2"/>
    <mergeCell ref="A1:C1"/>
    <mergeCell ref="A19:C19"/>
  </mergeCells>
  <dataValidations count="3">
    <dataValidation type="list" allowBlank="1" showErrorMessage="1" promptTitle="Select" sqref="B6" xr:uid="{00000000-0002-0000-0000-000000000000}">
      <formula1>"IaaS,PaaS,SaaS,Telco Core,Fintech Core,IT-ODMS,MSP,Hybrid"</formula1>
      <formula2>0</formula2>
    </dataValidation>
    <dataValidation type="list" allowBlank="1" showErrorMessage="1" promptTitle="Select" sqref="B7" xr:uid="{00000000-0002-0000-0000-000001000000}">
      <formula1>"Tier 1 - Mission Critical,Tier 2 - Business Critical,Tier 3 - Business Operational,Tier 4 - Non-Critical"</formula1>
      <formula2>0</formula2>
    </dataValidation>
    <dataValidation type="list" allowBlank="1" showErrorMessage="1" promptTitle="Select" sqref="B17" xr:uid="{00000000-0002-0000-0000-000002000000}">
      <formula1>"Draft,Under Review,Approved,Superseded"</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zoomScaleNormal="100" workbookViewId="0">
      <pane ySplit="3" topLeftCell="A22" activePane="bottomLeft" state="frozen"/>
      <selection pane="bottomLeft" activeCell="A23" sqref="A23:G23"/>
    </sheetView>
  </sheetViews>
  <sheetFormatPr defaultColWidth="8.6640625" defaultRowHeight="14.25" x14ac:dyDescent="0.45"/>
  <cols>
    <col min="1" max="1" width="34" customWidth="1"/>
    <col min="2" max="2" width="46.796875" customWidth="1"/>
    <col min="3" max="3" width="18" customWidth="1"/>
    <col min="4" max="4" width="14" customWidth="1"/>
    <col min="5" max="5" width="30" customWidth="1"/>
    <col min="6" max="6" width="16" customWidth="1"/>
    <col min="7" max="7" width="40" customWidth="1"/>
  </cols>
  <sheetData>
    <row r="1" spans="1:7" ht="25.5" customHeight="1" x14ac:dyDescent="0.45">
      <c r="A1" s="124" t="s">
        <v>478</v>
      </c>
      <c r="B1" s="124"/>
      <c r="C1" s="124"/>
      <c r="D1" s="124"/>
      <c r="E1" s="124"/>
      <c r="F1" s="124"/>
      <c r="G1" s="124"/>
    </row>
    <row r="2" spans="1:7" ht="13.5" customHeight="1" x14ac:dyDescent="0.45">
      <c r="A2" s="125" t="s">
        <v>63</v>
      </c>
      <c r="B2" s="125"/>
      <c r="C2" s="125"/>
      <c r="D2" s="125"/>
      <c r="E2" s="125"/>
      <c r="F2" s="125"/>
      <c r="G2" s="125"/>
    </row>
    <row r="3" spans="1:7" ht="15" customHeight="1" thickBot="1" x14ac:dyDescent="0.5">
      <c r="A3" s="57" t="s">
        <v>3</v>
      </c>
      <c r="B3" s="57" t="s">
        <v>45</v>
      </c>
      <c r="C3" s="57" t="s">
        <v>64</v>
      </c>
      <c r="D3" s="57" t="s">
        <v>65</v>
      </c>
      <c r="E3" s="57" t="s">
        <v>66</v>
      </c>
      <c r="F3" s="57" t="s">
        <v>67</v>
      </c>
      <c r="G3" s="57" t="s">
        <v>68</v>
      </c>
    </row>
    <row r="4" spans="1:7" ht="18" customHeight="1" thickTop="1" thickBot="1" x14ac:dyDescent="0.5">
      <c r="A4" s="120" t="s">
        <v>479</v>
      </c>
      <c r="B4" s="121"/>
      <c r="C4" s="121"/>
      <c r="D4" s="121"/>
      <c r="E4" s="121"/>
      <c r="F4" s="121"/>
      <c r="G4" s="122"/>
    </row>
    <row r="5" spans="1:7" ht="15" customHeight="1" thickTop="1" x14ac:dyDescent="0.45">
      <c r="A5" s="51" t="str">
        <f>IF('Service Overview'!B4="","",'Service Overview'!B4)</f>
        <v/>
      </c>
      <c r="B5" s="52" t="s">
        <v>69</v>
      </c>
      <c r="C5" s="53">
        <v>15</v>
      </c>
      <c r="D5" s="54" t="s">
        <v>70</v>
      </c>
      <c r="E5" s="51" t="s">
        <v>71</v>
      </c>
      <c r="F5" s="55"/>
      <c r="G5" s="56" t="s">
        <v>72</v>
      </c>
    </row>
    <row r="6" spans="1:7" ht="15" customHeight="1" x14ac:dyDescent="0.45">
      <c r="A6" s="40" t="str">
        <f>IF('Service Overview'!B4="","",'Service Overview'!B4)</f>
        <v/>
      </c>
      <c r="B6" s="41" t="s">
        <v>73</v>
      </c>
      <c r="C6" s="36">
        <v>30</v>
      </c>
      <c r="D6" s="42" t="s">
        <v>70</v>
      </c>
      <c r="E6" s="40" t="s">
        <v>74</v>
      </c>
      <c r="F6" s="38"/>
      <c r="G6" s="43" t="s">
        <v>75</v>
      </c>
    </row>
    <row r="7" spans="1:7" ht="15" customHeight="1" x14ac:dyDescent="0.45">
      <c r="A7" s="34" t="str">
        <f>IF('Service Overview'!B4="","",'Service Overview'!B4)</f>
        <v/>
      </c>
      <c r="B7" s="35" t="s">
        <v>76</v>
      </c>
      <c r="C7" s="36">
        <v>60</v>
      </c>
      <c r="D7" s="37" t="s">
        <v>70</v>
      </c>
      <c r="E7" s="34" t="s">
        <v>77</v>
      </c>
      <c r="F7" s="38"/>
      <c r="G7" s="39" t="s">
        <v>78</v>
      </c>
    </row>
    <row r="8" spans="1:7" ht="15" customHeight="1" thickBot="1" x14ac:dyDescent="0.5">
      <c r="A8" s="45" t="str">
        <f>IF('Service Overview'!B4="","",'Service Overview'!B4)</f>
        <v/>
      </c>
      <c r="B8" s="46" t="s">
        <v>79</v>
      </c>
      <c r="C8" s="47">
        <v>15</v>
      </c>
      <c r="D8" s="48" t="s">
        <v>70</v>
      </c>
      <c r="E8" s="45" t="s">
        <v>80</v>
      </c>
      <c r="F8" s="49"/>
      <c r="G8" s="50" t="s">
        <v>81</v>
      </c>
    </row>
    <row r="9" spans="1:7" ht="18" customHeight="1" thickTop="1" thickBot="1" x14ac:dyDescent="0.5">
      <c r="A9" s="120" t="s">
        <v>480</v>
      </c>
      <c r="B9" s="121"/>
      <c r="C9" s="121"/>
      <c r="D9" s="121"/>
      <c r="E9" s="121"/>
      <c r="F9" s="121"/>
      <c r="G9" s="122"/>
    </row>
    <row r="10" spans="1:7" ht="15" customHeight="1" thickTop="1" x14ac:dyDescent="0.45">
      <c r="A10" s="51" t="str">
        <f>IF('Service Overview'!B4="","",'Service Overview'!B4)</f>
        <v/>
      </c>
      <c r="B10" s="52" t="s">
        <v>82</v>
      </c>
      <c r="C10" s="53">
        <v>15</v>
      </c>
      <c r="D10" s="54" t="s">
        <v>70</v>
      </c>
      <c r="E10" s="51" t="s">
        <v>83</v>
      </c>
      <c r="F10" s="55"/>
      <c r="G10" s="56" t="s">
        <v>84</v>
      </c>
    </row>
    <row r="11" spans="1:7" ht="15" customHeight="1" x14ac:dyDescent="0.45">
      <c r="A11" s="40" t="str">
        <f>IF('Service Overview'!B4="","",'Service Overview'!B4)</f>
        <v/>
      </c>
      <c r="B11" s="41" t="s">
        <v>85</v>
      </c>
      <c r="C11" s="36">
        <v>50</v>
      </c>
      <c r="D11" s="42" t="s">
        <v>86</v>
      </c>
      <c r="E11" s="40" t="s">
        <v>87</v>
      </c>
      <c r="F11" s="38"/>
      <c r="G11" s="43" t="s">
        <v>88</v>
      </c>
    </row>
    <row r="12" spans="1:7" ht="15" customHeight="1" thickBot="1" x14ac:dyDescent="0.5">
      <c r="A12" s="58" t="str">
        <f>IF('Service Overview'!B4="","",'Service Overview'!B4)</f>
        <v/>
      </c>
      <c r="B12" s="59" t="s">
        <v>89</v>
      </c>
      <c r="C12" s="47">
        <v>2.1999999999999999E-2</v>
      </c>
      <c r="D12" s="60" t="s">
        <v>90</v>
      </c>
      <c r="E12" s="58" t="s">
        <v>91</v>
      </c>
      <c r="F12" s="49"/>
      <c r="G12" s="61" t="s">
        <v>92</v>
      </c>
    </row>
    <row r="13" spans="1:7" ht="18" customHeight="1" thickTop="1" thickBot="1" x14ac:dyDescent="0.5">
      <c r="A13" s="120" t="s">
        <v>481</v>
      </c>
      <c r="B13" s="121"/>
      <c r="C13" s="121"/>
      <c r="D13" s="121"/>
      <c r="E13" s="121"/>
      <c r="F13" s="121"/>
      <c r="G13" s="122"/>
    </row>
    <row r="14" spans="1:7" ht="15" customHeight="1" thickTop="1" x14ac:dyDescent="0.45">
      <c r="A14" s="51" t="str">
        <f>IF('Service Overview'!B4="","",'Service Overview'!B4)</f>
        <v/>
      </c>
      <c r="B14" s="52" t="s">
        <v>484</v>
      </c>
      <c r="C14" s="53">
        <v>45</v>
      </c>
      <c r="D14" s="54" t="s">
        <v>70</v>
      </c>
      <c r="E14" s="51" t="s">
        <v>93</v>
      </c>
      <c r="F14" s="55"/>
      <c r="G14" s="56" t="s">
        <v>94</v>
      </c>
    </row>
    <row r="15" spans="1:7" ht="15" customHeight="1" thickBot="1" x14ac:dyDescent="0.5">
      <c r="A15" s="45" t="str">
        <f>IF('Service Overview'!B4="","",'Service Overview'!B4)</f>
        <v/>
      </c>
      <c r="B15" s="46" t="s">
        <v>95</v>
      </c>
      <c r="C15" s="47">
        <v>3</v>
      </c>
      <c r="D15" s="48" t="s">
        <v>96</v>
      </c>
      <c r="E15" s="45" t="s">
        <v>97</v>
      </c>
      <c r="F15" s="49"/>
      <c r="G15" s="50" t="s">
        <v>98</v>
      </c>
    </row>
    <row r="16" spans="1:7" ht="18" customHeight="1" thickTop="1" thickBot="1" x14ac:dyDescent="0.5">
      <c r="A16" s="120" t="s">
        <v>482</v>
      </c>
      <c r="B16" s="121"/>
      <c r="C16" s="121"/>
      <c r="D16" s="121"/>
      <c r="E16" s="121"/>
      <c r="F16" s="121"/>
      <c r="G16" s="122"/>
    </row>
    <row r="17" spans="1:7" ht="15" customHeight="1" thickTop="1" x14ac:dyDescent="0.45">
      <c r="A17" s="51" t="str">
        <f>IF('Service Overview'!B4="","",'Service Overview'!B4)</f>
        <v/>
      </c>
      <c r="B17" s="52" t="s">
        <v>99</v>
      </c>
      <c r="C17" s="53">
        <v>2</v>
      </c>
      <c r="D17" s="54" t="s">
        <v>506</v>
      </c>
      <c r="E17" s="51" t="s">
        <v>100</v>
      </c>
      <c r="F17" s="55"/>
      <c r="G17" s="56" t="s">
        <v>101</v>
      </c>
    </row>
    <row r="18" spans="1:7" ht="15" customHeight="1" x14ac:dyDescent="0.45">
      <c r="A18" s="40" t="str">
        <f>IF('Service Overview'!B4="","",'Service Overview'!B4)</f>
        <v/>
      </c>
      <c r="B18" s="41" t="s">
        <v>102</v>
      </c>
      <c r="C18" s="36">
        <v>3</v>
      </c>
      <c r="D18" s="42" t="s">
        <v>506</v>
      </c>
      <c r="E18" s="40" t="s">
        <v>103</v>
      </c>
      <c r="F18" s="38"/>
      <c r="G18" s="43" t="s">
        <v>104</v>
      </c>
    </row>
    <row r="19" spans="1:7" ht="15" customHeight="1" x14ac:dyDescent="0.45">
      <c r="A19" s="34" t="str">
        <f>IF('Service Overview'!B4="","",'Service Overview'!B4)</f>
        <v/>
      </c>
      <c r="B19" s="35" t="s">
        <v>105</v>
      </c>
      <c r="C19" s="36">
        <v>1</v>
      </c>
      <c r="D19" s="37" t="s">
        <v>507</v>
      </c>
      <c r="E19" s="34" t="s">
        <v>106</v>
      </c>
      <c r="F19" s="38"/>
      <c r="G19" s="39" t="s">
        <v>107</v>
      </c>
    </row>
    <row r="20" spans="1:7" ht="15" customHeight="1" x14ac:dyDescent="0.45">
      <c r="A20" s="40" t="str">
        <f>IF('Service Overview'!B4="","",'Service Overview'!B4)</f>
        <v/>
      </c>
      <c r="B20" s="41" t="s">
        <v>108</v>
      </c>
      <c r="C20" s="36">
        <v>0</v>
      </c>
      <c r="D20" s="42" t="s">
        <v>109</v>
      </c>
      <c r="E20" s="40" t="s">
        <v>110</v>
      </c>
      <c r="F20" s="38"/>
      <c r="G20" s="43" t="s">
        <v>111</v>
      </c>
    </row>
    <row r="21" spans="1:7" ht="15" customHeight="1" x14ac:dyDescent="0.45">
      <c r="A21" s="34" t="str">
        <f>IF('Service Overview'!B4="","",'Service Overview'!B4)</f>
        <v/>
      </c>
      <c r="B21" s="35" t="s">
        <v>112</v>
      </c>
      <c r="C21" s="36">
        <v>3</v>
      </c>
      <c r="D21" s="37" t="s">
        <v>508</v>
      </c>
      <c r="E21" s="34" t="s">
        <v>113</v>
      </c>
      <c r="F21" s="38"/>
      <c r="G21" s="39" t="s">
        <v>114</v>
      </c>
    </row>
    <row r="22" spans="1:7" ht="15" customHeight="1" thickBot="1" x14ac:dyDescent="0.5">
      <c r="A22" s="45" t="str">
        <f>IF('Service Overview'!B4="","",'Service Overview'!B4)</f>
        <v/>
      </c>
      <c r="B22" s="46" t="s">
        <v>115</v>
      </c>
      <c r="C22" s="47">
        <v>2</v>
      </c>
      <c r="D22" s="48" t="s">
        <v>506</v>
      </c>
      <c r="E22" s="45" t="s">
        <v>116</v>
      </c>
      <c r="F22" s="49"/>
      <c r="G22" s="50" t="s">
        <v>117</v>
      </c>
    </row>
    <row r="23" spans="1:7" ht="18" customHeight="1" thickTop="1" thickBot="1" x14ac:dyDescent="0.5">
      <c r="A23" s="120" t="s">
        <v>483</v>
      </c>
      <c r="B23" s="121"/>
      <c r="C23" s="121"/>
      <c r="D23" s="121"/>
      <c r="E23" s="121"/>
      <c r="F23" s="121"/>
      <c r="G23" s="122"/>
    </row>
    <row r="24" spans="1:7" ht="15" customHeight="1" thickTop="1" x14ac:dyDescent="0.45">
      <c r="A24" s="51" t="str">
        <f>IF('Service Overview'!B4="","",'Service Overview'!B4)</f>
        <v/>
      </c>
      <c r="B24" s="52" t="s">
        <v>118</v>
      </c>
      <c r="C24" s="53">
        <v>60</v>
      </c>
      <c r="D24" s="54" t="s">
        <v>70</v>
      </c>
      <c r="E24" s="51" t="s">
        <v>119</v>
      </c>
      <c r="F24" s="55"/>
      <c r="G24" s="56" t="s">
        <v>120</v>
      </c>
    </row>
    <row r="25" spans="1:7" ht="15" customHeight="1" x14ac:dyDescent="0.45">
      <c r="A25" s="40" t="str">
        <f>IF('Service Overview'!B4="","",'Service Overview'!B4)</f>
        <v/>
      </c>
      <c r="B25" s="41" t="s">
        <v>121</v>
      </c>
      <c r="C25" s="36">
        <v>15</v>
      </c>
      <c r="D25" s="42" t="s">
        <v>70</v>
      </c>
      <c r="E25" s="40" t="s">
        <v>119</v>
      </c>
      <c r="F25" s="38"/>
      <c r="G25" s="43" t="s">
        <v>120</v>
      </c>
    </row>
    <row r="26" spans="1:7" x14ac:dyDescent="0.45">
      <c r="A26" s="44"/>
      <c r="B26" s="44"/>
      <c r="C26" s="44"/>
      <c r="D26" s="44"/>
      <c r="E26" s="44"/>
      <c r="F26" s="44"/>
      <c r="G26" s="44"/>
    </row>
    <row r="27" spans="1:7" x14ac:dyDescent="0.45">
      <c r="A27" s="44"/>
      <c r="B27" s="44"/>
      <c r="C27" s="44"/>
      <c r="D27" s="44"/>
      <c r="E27" s="44"/>
      <c r="F27" s="44"/>
      <c r="G27" s="44"/>
    </row>
    <row r="28" spans="1:7" x14ac:dyDescent="0.45">
      <c r="A28" s="44"/>
      <c r="B28" s="44"/>
      <c r="C28" s="44"/>
      <c r="D28" s="44"/>
      <c r="E28" s="44"/>
      <c r="F28" s="44"/>
      <c r="G28" s="44"/>
    </row>
    <row r="29" spans="1:7" x14ac:dyDescent="0.45">
      <c r="A29" s="44"/>
      <c r="B29" s="44"/>
      <c r="C29" s="44"/>
      <c r="D29" s="44"/>
      <c r="E29" s="44"/>
      <c r="F29" s="44"/>
      <c r="G29" s="44"/>
    </row>
    <row r="30" spans="1:7" x14ac:dyDescent="0.45">
      <c r="A30" s="44"/>
      <c r="B30" s="44"/>
      <c r="C30" s="44"/>
      <c r="D30" s="44"/>
      <c r="E30" s="44"/>
      <c r="F30" s="44"/>
      <c r="G30" s="44"/>
    </row>
    <row r="31" spans="1:7" x14ac:dyDescent="0.45">
      <c r="A31" s="44"/>
      <c r="B31" s="44"/>
      <c r="C31" s="44"/>
      <c r="D31" s="44"/>
      <c r="E31" s="44"/>
      <c r="F31" s="44"/>
      <c r="G31" s="44"/>
    </row>
    <row r="32" spans="1:7" x14ac:dyDescent="0.45">
      <c r="A32" s="44"/>
      <c r="B32" s="44"/>
      <c r="C32" s="44"/>
      <c r="D32" s="44"/>
      <c r="E32" s="44"/>
      <c r="F32" s="44"/>
      <c r="G32" s="44"/>
    </row>
  </sheetData>
  <mergeCells count="7">
    <mergeCell ref="A16:G16"/>
    <mergeCell ref="A23:G23"/>
    <mergeCell ref="A1:G1"/>
    <mergeCell ref="A2:G2"/>
    <mergeCell ref="A4:G4"/>
    <mergeCell ref="A9:G9"/>
    <mergeCell ref="A13:G13"/>
  </mergeCells>
  <dataValidations count="1">
    <dataValidation type="list" allowBlank="1" showInputMessage="1" showErrorMessage="1" sqref="C20" xr:uid="{C3D6B765-EDCA-4F11-B41A-1EB8C57B010E}">
      <formula1>"0,1"</formula1>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0"/>
  <sheetViews>
    <sheetView showGridLines="0" topLeftCell="A4" zoomScaleNormal="100" workbookViewId="0">
      <selection activeCell="C45" sqref="C45"/>
    </sheetView>
  </sheetViews>
  <sheetFormatPr defaultColWidth="8.6640625" defaultRowHeight="14.25" x14ac:dyDescent="0.45"/>
  <cols>
    <col min="1" max="1" width="40" customWidth="1"/>
    <col min="2" max="2" width="34.86328125" customWidth="1"/>
    <col min="3" max="3" width="52" customWidth="1"/>
    <col min="4" max="4" width="12" customWidth="1"/>
    <col min="5" max="5" width="55.3984375" customWidth="1"/>
    <col min="6" max="6" width="18.6640625" customWidth="1"/>
  </cols>
  <sheetData>
    <row r="1" spans="1:6" ht="25.5" customHeight="1" thickBot="1" x14ac:dyDescent="0.5">
      <c r="A1" s="124" t="s">
        <v>122</v>
      </c>
      <c r="B1" s="124"/>
      <c r="C1" s="124"/>
      <c r="D1" s="124"/>
      <c r="E1" s="124"/>
      <c r="F1" s="44"/>
    </row>
    <row r="2" spans="1:6" ht="18" customHeight="1" thickTop="1" thickBot="1" x14ac:dyDescent="0.5">
      <c r="A2" s="126" t="s">
        <v>485</v>
      </c>
      <c r="B2" s="127"/>
      <c r="C2" s="127"/>
      <c r="D2" s="127"/>
      <c r="E2" s="128"/>
      <c r="F2" s="44"/>
    </row>
    <row r="3" spans="1:6" ht="18" customHeight="1" thickTop="1" x14ac:dyDescent="0.45">
      <c r="A3" s="71" t="s">
        <v>45</v>
      </c>
      <c r="B3" s="71" t="s">
        <v>64</v>
      </c>
      <c r="C3" s="71" t="s">
        <v>123</v>
      </c>
      <c r="D3" s="71" t="s">
        <v>65</v>
      </c>
      <c r="E3" s="71" t="s">
        <v>68</v>
      </c>
      <c r="F3" s="44"/>
    </row>
    <row r="4" spans="1:6" ht="15.75" customHeight="1" x14ac:dyDescent="0.45">
      <c r="A4" s="14" t="s">
        <v>124</v>
      </c>
      <c r="B4" s="64">
        <f>Parameters!C14*(1+(Parameters!C15*0.05))</f>
        <v>51.749999999999993</v>
      </c>
      <c r="C4" s="65" t="s">
        <v>125</v>
      </c>
      <c r="D4" s="66" t="s">
        <v>70</v>
      </c>
      <c r="E4" s="65" t="s">
        <v>42</v>
      </c>
      <c r="F4" s="44"/>
    </row>
    <row r="5" spans="1:6" ht="15.75" customHeight="1" x14ac:dyDescent="0.45">
      <c r="A5" s="14" t="s">
        <v>126</v>
      </c>
      <c r="B5" s="64">
        <f>Parameters!C6+Parameters!C7+Parameters!C8</f>
        <v>105</v>
      </c>
      <c r="C5" s="65" t="s">
        <v>127</v>
      </c>
      <c r="D5" s="66" t="s">
        <v>70</v>
      </c>
      <c r="E5" s="65" t="s">
        <v>128</v>
      </c>
      <c r="F5" s="44"/>
    </row>
    <row r="6" spans="1:6" ht="15.75" customHeight="1" x14ac:dyDescent="0.45">
      <c r="A6" s="14" t="s">
        <v>489</v>
      </c>
      <c r="B6" s="64">
        <f>B5*(1+((3-Parameters!C17)/6)+((3-Parameters!C18)/6))</f>
        <v>122.50000000000001</v>
      </c>
      <c r="C6" s="65" t="s">
        <v>129</v>
      </c>
      <c r="D6" s="66" t="s">
        <v>70</v>
      </c>
      <c r="E6" s="65" t="s">
        <v>130</v>
      </c>
      <c r="F6" s="44"/>
    </row>
    <row r="7" spans="1:6" ht="15.75" customHeight="1" x14ac:dyDescent="0.45">
      <c r="A7" s="14" t="s">
        <v>490</v>
      </c>
      <c r="B7" s="64">
        <f>B6*(Parameters!C19/4)</f>
        <v>30.625000000000004</v>
      </c>
      <c r="C7" s="65" t="s">
        <v>131</v>
      </c>
      <c r="D7" s="66" t="s">
        <v>70</v>
      </c>
      <c r="E7" s="65" t="s">
        <v>132</v>
      </c>
      <c r="F7" s="44"/>
    </row>
    <row r="8" spans="1:6" ht="15.75" customHeight="1" x14ac:dyDescent="0.45">
      <c r="A8" s="14" t="s">
        <v>133</v>
      </c>
      <c r="B8" s="64">
        <f>MAX(IF(Parameters!C20=1,Parameters!C24,B7),B4)</f>
        <v>51.749999999999993</v>
      </c>
      <c r="C8" s="65" t="s">
        <v>134</v>
      </c>
      <c r="D8" s="66" t="s">
        <v>70</v>
      </c>
      <c r="E8" s="65" t="s">
        <v>135</v>
      </c>
      <c r="F8" s="44"/>
    </row>
    <row r="9" spans="1:6" ht="15.75" customHeight="1" x14ac:dyDescent="0.45">
      <c r="A9" s="14" t="s">
        <v>30</v>
      </c>
      <c r="B9" s="64">
        <f>ROUND(B8/60,1)</f>
        <v>0.9</v>
      </c>
      <c r="C9" s="65" t="s">
        <v>136</v>
      </c>
      <c r="D9" s="66" t="s">
        <v>137</v>
      </c>
      <c r="E9" s="65" t="s">
        <v>138</v>
      </c>
      <c r="F9" s="44"/>
    </row>
    <row r="10" spans="1:6" ht="15.75" customHeight="1" x14ac:dyDescent="0.45">
      <c r="A10" s="14" t="s">
        <v>31</v>
      </c>
      <c r="B10" s="64" t="str">
        <f>IF(B8&lt;240,"Tier 1 - Mission Critical: 0-4 hours",IF(B8&lt;720,"Tier 2 - Business Critical: 4-12 hours",IF(B8&lt;1440,"Tier 3 - Business Operational: 12-24 hours","Tier 4 - Non-Critical: 24+ hours")))</f>
        <v>Tier 1 - Mission Critical: 0-4 hours</v>
      </c>
      <c r="C10" s="65" t="s">
        <v>139</v>
      </c>
      <c r="D10" s="66"/>
      <c r="E10" s="65"/>
      <c r="F10" s="44"/>
    </row>
    <row r="11" spans="1:6" ht="15.75" customHeight="1" x14ac:dyDescent="0.45">
      <c r="A11" s="14" t="s">
        <v>140</v>
      </c>
      <c r="B11" s="72"/>
      <c r="C11" s="65" t="s">
        <v>141</v>
      </c>
      <c r="D11" s="66"/>
      <c r="E11" s="65" t="s">
        <v>142</v>
      </c>
      <c r="F11" s="44"/>
    </row>
    <row r="12" spans="1:6" ht="15.75" customHeight="1" x14ac:dyDescent="0.45">
      <c r="A12" s="14" t="s">
        <v>143</v>
      </c>
      <c r="B12" s="72"/>
      <c r="C12" s="65" t="s">
        <v>141</v>
      </c>
      <c r="D12" s="66"/>
      <c r="E12" s="65" t="s">
        <v>144</v>
      </c>
      <c r="F12" s="44"/>
    </row>
    <row r="13" spans="1:6" ht="14.65" thickBot="1" x14ac:dyDescent="0.5">
      <c r="A13" s="44"/>
      <c r="B13" s="44"/>
      <c r="C13" s="44"/>
      <c r="D13" s="44"/>
      <c r="E13" s="44"/>
      <c r="F13" s="44"/>
    </row>
    <row r="14" spans="1:6" ht="18" customHeight="1" thickTop="1" thickBot="1" x14ac:dyDescent="0.5">
      <c r="A14" s="129" t="s">
        <v>486</v>
      </c>
      <c r="B14" s="130"/>
      <c r="C14" s="130"/>
      <c r="D14" s="130"/>
      <c r="E14" s="130"/>
      <c r="F14" s="131"/>
    </row>
    <row r="15" spans="1:6" ht="20.25" customHeight="1" thickTop="1" x14ac:dyDescent="0.45">
      <c r="A15" s="71" t="s">
        <v>145</v>
      </c>
      <c r="B15" s="71" t="s">
        <v>146</v>
      </c>
      <c r="C15" s="71" t="s">
        <v>147</v>
      </c>
      <c r="D15" s="71" t="s">
        <v>148</v>
      </c>
      <c r="E15" s="71" t="s">
        <v>149</v>
      </c>
      <c r="F15" s="71" t="s">
        <v>150</v>
      </c>
    </row>
    <row r="16" spans="1:6" ht="15" customHeight="1" x14ac:dyDescent="0.45">
      <c r="A16" s="67" t="s">
        <v>151</v>
      </c>
      <c r="B16" s="36" t="s">
        <v>152</v>
      </c>
      <c r="C16" s="36" t="s">
        <v>153</v>
      </c>
      <c r="D16" s="36">
        <v>60</v>
      </c>
      <c r="E16" s="36">
        <v>0.5</v>
      </c>
      <c r="F16" s="68">
        <f>IF(D16="","",D16*E16)</f>
        <v>30</v>
      </c>
    </row>
    <row r="17" spans="1:6" ht="15" customHeight="1" x14ac:dyDescent="0.45">
      <c r="A17" s="67" t="s">
        <v>154</v>
      </c>
      <c r="B17" s="36" t="s">
        <v>152</v>
      </c>
      <c r="C17" s="36" t="s">
        <v>155</v>
      </c>
      <c r="D17" s="36">
        <v>40</v>
      </c>
      <c r="E17" s="36">
        <v>0.3</v>
      </c>
      <c r="F17" s="68">
        <f>IF(D17="","",D17*E17)</f>
        <v>12</v>
      </c>
    </row>
    <row r="18" spans="1:6" ht="15" customHeight="1" thickBot="1" x14ac:dyDescent="0.5">
      <c r="A18" s="112" t="s">
        <v>156</v>
      </c>
      <c r="B18" s="47" t="s">
        <v>157</v>
      </c>
      <c r="C18" s="47" t="s">
        <v>158</v>
      </c>
      <c r="D18" s="36">
        <v>48</v>
      </c>
      <c r="E18" s="36">
        <v>0.2</v>
      </c>
      <c r="F18" s="68">
        <f>IF(D18="","",D18*E18)</f>
        <v>9.6000000000000014</v>
      </c>
    </row>
    <row r="19" spans="1:6" ht="15.75" customHeight="1" thickTop="1" thickBot="1" x14ac:dyDescent="0.5">
      <c r="A19" s="132" t="s">
        <v>159</v>
      </c>
      <c r="B19" s="133"/>
      <c r="C19" s="134"/>
      <c r="D19" s="110">
        <f>IFERROR(SUMPRODUCT(D16:D18,E16:E18)/SUMIF(E16:E18,"&gt;0"),0)</f>
        <v>51.6</v>
      </c>
      <c r="E19" s="69">
        <f>SUM(E16:E18)</f>
        <v>1</v>
      </c>
      <c r="F19" s="69">
        <f>IFERROR(SUMPRODUCT(D16:D18,E16:E18)/SUMIF(E16:E18,"&gt;0"),0)</f>
        <v>51.6</v>
      </c>
    </row>
    <row r="20" spans="1:6" ht="15" thickTop="1" thickBot="1" x14ac:dyDescent="0.5">
      <c r="A20" s="44"/>
      <c r="B20" s="44"/>
      <c r="C20" s="44"/>
      <c r="D20" s="44"/>
      <c r="E20" s="44"/>
      <c r="F20" s="44"/>
    </row>
    <row r="21" spans="1:6" ht="18" customHeight="1" thickTop="1" thickBot="1" x14ac:dyDescent="0.5">
      <c r="A21" s="129" t="s">
        <v>487</v>
      </c>
      <c r="B21" s="130"/>
      <c r="C21" s="130"/>
      <c r="D21" s="130"/>
      <c r="E21" s="131"/>
      <c r="F21" s="44"/>
    </row>
    <row r="22" spans="1:6" ht="18" customHeight="1" thickTop="1" x14ac:dyDescent="0.45">
      <c r="A22" s="71" t="s">
        <v>45</v>
      </c>
      <c r="B22" s="71" t="s">
        <v>64</v>
      </c>
      <c r="C22" s="71" t="s">
        <v>123</v>
      </c>
      <c r="D22" s="71" t="s">
        <v>65</v>
      </c>
      <c r="E22" s="71" t="s">
        <v>68</v>
      </c>
      <c r="F22" s="44"/>
    </row>
    <row r="23" spans="1:6" ht="15.75" customHeight="1" x14ac:dyDescent="0.45">
      <c r="A23" s="14" t="s">
        <v>160</v>
      </c>
      <c r="B23" s="64">
        <f>Parameters!C10+(Parameters!C11*0.5/1000)</f>
        <v>15.025</v>
      </c>
      <c r="C23" s="65" t="s">
        <v>161</v>
      </c>
      <c r="D23" s="66" t="s">
        <v>70</v>
      </c>
      <c r="E23" s="70" t="s">
        <v>162</v>
      </c>
      <c r="F23" s="44"/>
    </row>
    <row r="24" spans="1:6" ht="15.75" customHeight="1" x14ac:dyDescent="0.45">
      <c r="A24" s="14" t="s">
        <v>491</v>
      </c>
      <c r="B24" s="64">
        <f>B23*(1+((3-Parameters!C17)/6))</f>
        <v>17.529166666666669</v>
      </c>
      <c r="C24" s="65" t="s">
        <v>163</v>
      </c>
      <c r="D24" s="66" t="s">
        <v>70</v>
      </c>
      <c r="E24" s="70" t="s">
        <v>164</v>
      </c>
      <c r="F24" s="44"/>
    </row>
    <row r="25" spans="1:6" ht="15.75" customHeight="1" x14ac:dyDescent="0.45">
      <c r="A25" s="14" t="s">
        <v>492</v>
      </c>
      <c r="B25" s="64">
        <f>B24*(Parameters!C19/4)</f>
        <v>4.3822916666666671</v>
      </c>
      <c r="C25" s="65" t="s">
        <v>165</v>
      </c>
      <c r="D25" s="66" t="s">
        <v>70</v>
      </c>
      <c r="E25" s="70" t="s">
        <v>166</v>
      </c>
      <c r="F25" s="44"/>
    </row>
    <row r="26" spans="1:6" ht="15.75" customHeight="1" x14ac:dyDescent="0.45">
      <c r="A26" s="14" t="s">
        <v>167</v>
      </c>
      <c r="B26" s="64">
        <f>MAX(IF(Parameters!C20=1,Parameters!C25,B25),1)</f>
        <v>4.3822916666666671</v>
      </c>
      <c r="C26" s="65" t="s">
        <v>168</v>
      </c>
      <c r="D26" s="66" t="s">
        <v>70</v>
      </c>
      <c r="E26" s="70" t="s">
        <v>169</v>
      </c>
      <c r="F26" s="44"/>
    </row>
    <row r="27" spans="1:6" ht="15.75" customHeight="1" x14ac:dyDescent="0.45">
      <c r="A27" s="14" t="s">
        <v>34</v>
      </c>
      <c r="B27" s="64">
        <f>ROUND(B26/60,1)</f>
        <v>0.1</v>
      </c>
      <c r="C27" s="65" t="s">
        <v>170</v>
      </c>
      <c r="D27" s="66" t="s">
        <v>137</v>
      </c>
      <c r="E27" s="70" t="s">
        <v>138</v>
      </c>
      <c r="F27" s="44"/>
    </row>
    <row r="28" spans="1:6" ht="15.75" customHeight="1" x14ac:dyDescent="0.45">
      <c r="A28" s="14" t="s">
        <v>35</v>
      </c>
      <c r="B28" s="64" t="str">
        <f>IF(B26&lt;15,"Tier 1 - No Data Loss: 0-15 minutes",IF(B26&lt;60,"Tier 2 - Minimal Data Loss: 15-60 minutes",IF(B26&lt;240,"Tier 3 - Moderate Data Loss: 1-4 hours","Tier 4 - Extended Data Loss: 4+ hours")))</f>
        <v>Tier 1 - No Data Loss: 0-15 minutes</v>
      </c>
      <c r="C28" s="65" t="s">
        <v>171</v>
      </c>
      <c r="D28" s="66"/>
      <c r="E28" s="70"/>
      <c r="F28" s="44"/>
    </row>
    <row r="29" spans="1:6" ht="14.65" thickBot="1" x14ac:dyDescent="0.5">
      <c r="A29" s="44"/>
      <c r="B29" s="44"/>
      <c r="C29" s="44"/>
      <c r="D29" s="44"/>
      <c r="E29" s="44"/>
      <c r="F29" s="44"/>
    </row>
    <row r="30" spans="1:6" ht="18" customHeight="1" thickTop="1" thickBot="1" x14ac:dyDescent="0.5">
      <c r="A30" s="129" t="s">
        <v>488</v>
      </c>
      <c r="B30" s="130"/>
      <c r="C30" s="130"/>
      <c r="D30" s="130"/>
      <c r="E30" s="131"/>
      <c r="F30" s="44"/>
    </row>
    <row r="31" spans="1:6" ht="18" customHeight="1" thickTop="1" x14ac:dyDescent="0.45">
      <c r="A31" s="71" t="s">
        <v>45</v>
      </c>
      <c r="B31" s="71" t="s">
        <v>64</v>
      </c>
      <c r="C31" s="73" t="s">
        <v>123</v>
      </c>
      <c r="D31" s="73" t="s">
        <v>65</v>
      </c>
      <c r="E31" s="71" t="s">
        <v>68</v>
      </c>
      <c r="F31" s="44"/>
    </row>
    <row r="32" spans="1:6" ht="15.75" customHeight="1" x14ac:dyDescent="0.45">
      <c r="A32" s="14" t="s">
        <v>172</v>
      </c>
      <c r="B32" s="77">
        <f>Parameters!C11</f>
        <v>50</v>
      </c>
      <c r="C32" s="74"/>
      <c r="D32" s="86"/>
      <c r="E32" s="79" t="s">
        <v>86</v>
      </c>
      <c r="F32" s="44"/>
    </row>
    <row r="33" spans="1:6" ht="15.75" customHeight="1" x14ac:dyDescent="0.45">
      <c r="A33" s="14" t="s">
        <v>173</v>
      </c>
      <c r="B33" s="78"/>
      <c r="C33" s="74"/>
      <c r="D33" s="85"/>
      <c r="E33" s="85"/>
      <c r="F33" s="44"/>
    </row>
    <row r="34" spans="1:6" ht="15.75" customHeight="1" x14ac:dyDescent="0.45">
      <c r="A34" s="14" t="s">
        <v>174</v>
      </c>
      <c r="B34" s="78"/>
      <c r="C34" s="74"/>
      <c r="D34" s="85"/>
      <c r="E34" s="80" t="s">
        <v>175</v>
      </c>
      <c r="F34" s="44"/>
    </row>
    <row r="35" spans="1:6" ht="15.75" customHeight="1" x14ac:dyDescent="0.45">
      <c r="A35" s="14" t="s">
        <v>176</v>
      </c>
      <c r="B35" s="77">
        <f>Parameters!C10</f>
        <v>15</v>
      </c>
      <c r="C35" s="74"/>
      <c r="D35" s="86"/>
      <c r="E35" s="81" t="s">
        <v>70</v>
      </c>
      <c r="F35" s="44"/>
    </row>
    <row r="36" spans="1:6" ht="15.75" customHeight="1" x14ac:dyDescent="0.45">
      <c r="A36" s="14" t="s">
        <v>177</v>
      </c>
      <c r="B36" s="78"/>
      <c r="C36" s="74"/>
      <c r="D36" s="85"/>
      <c r="E36" s="82" t="s">
        <v>178</v>
      </c>
      <c r="F36" s="44"/>
    </row>
    <row r="37" spans="1:6" ht="15.75" customHeight="1" x14ac:dyDescent="0.45">
      <c r="A37" s="14" t="s">
        <v>179</v>
      </c>
      <c r="B37" s="78"/>
      <c r="C37" s="74"/>
      <c r="D37" s="87"/>
      <c r="E37" s="83" t="s">
        <v>180</v>
      </c>
      <c r="F37" s="44"/>
    </row>
    <row r="38" spans="1:6" ht="15.75" customHeight="1" x14ac:dyDescent="0.45">
      <c r="A38" s="14" t="s">
        <v>181</v>
      </c>
      <c r="B38" s="78"/>
      <c r="C38" s="75"/>
      <c r="D38" s="85"/>
      <c r="E38" s="85"/>
      <c r="F38" s="44"/>
    </row>
    <row r="39" spans="1:6" ht="15.75" customHeight="1" x14ac:dyDescent="0.45">
      <c r="A39" s="14" t="s">
        <v>182</v>
      </c>
      <c r="B39" s="78"/>
      <c r="C39" s="74"/>
      <c r="D39" s="85"/>
      <c r="E39" s="85"/>
      <c r="F39" s="44"/>
    </row>
    <row r="40" spans="1:6" ht="15.75" customHeight="1" x14ac:dyDescent="0.45">
      <c r="A40" s="14" t="s">
        <v>183</v>
      </c>
      <c r="B40" s="78"/>
      <c r="C40" s="76"/>
      <c r="D40" s="85"/>
      <c r="E40" s="84" t="s">
        <v>184</v>
      </c>
      <c r="F40" s="44"/>
    </row>
  </sheetData>
  <mergeCells count="6">
    <mergeCell ref="A1:E1"/>
    <mergeCell ref="A2:E2"/>
    <mergeCell ref="A21:E21"/>
    <mergeCell ref="A30:E30"/>
    <mergeCell ref="A14:F14"/>
    <mergeCell ref="A19:C19"/>
  </mergeCells>
  <dataValidations count="2">
    <dataValidation type="list" allowBlank="1" showErrorMessage="1" promptTitle="Select" sqref="B16:B18" xr:uid="{00000000-0002-0000-0200-000000000000}">
      <formula1>"Hard,Soft,Conditional"</formula1>
      <formula2>0</formula2>
    </dataValidation>
    <dataValidation type="list" allowBlank="1" showErrorMessage="1" promptTitle="Select" sqref="C16:C18" xr:uid="{00000000-0002-0000-0200-000001000000}">
      <formula1>"Critical,High,Medium,Low"</formula1>
      <formula2>0</formula2>
    </dataValidation>
  </dataValidations>
  <pageMargins left="0.75" right="0.75" top="1" bottom="1"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3"/>
  <sheetViews>
    <sheetView showGridLines="0" zoomScaleNormal="100" workbookViewId="0">
      <pane ySplit="2" topLeftCell="A15" activePane="bottomLeft" state="frozen"/>
      <selection pane="bottomLeft" activeCell="B31" sqref="B31"/>
    </sheetView>
  </sheetViews>
  <sheetFormatPr defaultColWidth="8.6640625" defaultRowHeight="14.25" x14ac:dyDescent="0.45"/>
  <cols>
    <col min="1" max="1" width="40" customWidth="1"/>
    <col min="2" max="2" width="28" customWidth="1"/>
    <col min="3" max="3" width="62.1328125" customWidth="1"/>
    <col min="4" max="4" width="14" customWidth="1"/>
  </cols>
  <sheetData>
    <row r="1" spans="1:4" ht="25.5" customHeight="1" x14ac:dyDescent="0.45">
      <c r="A1" s="124" t="s">
        <v>185</v>
      </c>
      <c r="B1" s="124"/>
      <c r="C1" s="124"/>
      <c r="D1" s="124"/>
    </row>
    <row r="2" spans="1:4" ht="15" customHeight="1" thickBot="1" x14ac:dyDescent="0.5">
      <c r="A2" s="57" t="s">
        <v>45</v>
      </c>
      <c r="B2" s="57" t="s">
        <v>186</v>
      </c>
      <c r="C2" s="57" t="s">
        <v>187</v>
      </c>
      <c r="D2" s="57" t="s">
        <v>65</v>
      </c>
    </row>
    <row r="3" spans="1:4" ht="18" customHeight="1" thickTop="1" thickBot="1" x14ac:dyDescent="0.5">
      <c r="A3" s="135" t="s">
        <v>493</v>
      </c>
      <c r="B3" s="136"/>
      <c r="C3" s="136"/>
      <c r="D3" s="137"/>
    </row>
    <row r="4" spans="1:4" ht="15.75" customHeight="1" thickTop="1" x14ac:dyDescent="0.45">
      <c r="A4" s="31" t="s">
        <v>188</v>
      </c>
      <c r="B4" s="89"/>
      <c r="C4" s="90" t="s">
        <v>141</v>
      </c>
      <c r="D4" s="91" t="s">
        <v>189</v>
      </c>
    </row>
    <row r="5" spans="1:4" ht="15.75" customHeight="1" x14ac:dyDescent="0.45">
      <c r="A5" s="14" t="s">
        <v>190</v>
      </c>
      <c r="B5" s="67"/>
      <c r="C5" s="65" t="s">
        <v>141</v>
      </c>
      <c r="D5" s="66"/>
    </row>
    <row r="6" spans="1:4" ht="15.75" customHeight="1" x14ac:dyDescent="0.45">
      <c r="A6" s="14" t="s">
        <v>191</v>
      </c>
      <c r="B6" s="72"/>
      <c r="C6" s="65" t="s">
        <v>192</v>
      </c>
      <c r="D6" s="66" t="s">
        <v>193</v>
      </c>
    </row>
    <row r="7" spans="1:4" ht="15.75" customHeight="1" x14ac:dyDescent="0.45">
      <c r="A7" s="14" t="s">
        <v>194</v>
      </c>
      <c r="B7" s="67"/>
      <c r="C7" s="65" t="s">
        <v>192</v>
      </c>
      <c r="D7" s="66" t="s">
        <v>193</v>
      </c>
    </row>
    <row r="8" spans="1:4" ht="15.75" customHeight="1" x14ac:dyDescent="0.45">
      <c r="A8" s="14" t="s">
        <v>195</v>
      </c>
      <c r="B8" s="64">
        <f>(B7-B6)*1440</f>
        <v>0</v>
      </c>
      <c r="C8" s="65" t="s">
        <v>196</v>
      </c>
      <c r="D8" s="66" t="s">
        <v>70</v>
      </c>
    </row>
    <row r="9" spans="1:4" ht="15.75" customHeight="1" x14ac:dyDescent="0.45">
      <c r="A9" s="14" t="s">
        <v>197</v>
      </c>
      <c r="B9" s="88">
        <f>'Recovery Objectives'!B8</f>
        <v>51.749999999999993</v>
      </c>
      <c r="C9" s="65" t="s">
        <v>198</v>
      </c>
      <c r="D9" s="66" t="s">
        <v>70</v>
      </c>
    </row>
    <row r="10" spans="1:4" ht="15.75" customHeight="1" x14ac:dyDescent="0.45">
      <c r="A10" s="14" t="s">
        <v>199</v>
      </c>
      <c r="B10" s="64" t="str">
        <f>IF(B8&lt;=B9,"Compliant","Non-Compliant")</f>
        <v>Compliant</v>
      </c>
      <c r="C10" s="65" t="s">
        <v>200</v>
      </c>
      <c r="D10" s="66"/>
    </row>
    <row r="11" spans="1:4" ht="15.75" customHeight="1" x14ac:dyDescent="0.45">
      <c r="A11" s="14" t="s">
        <v>201</v>
      </c>
      <c r="B11" s="88">
        <f>IF(B8&lt;=B9,0,B8-B9)</f>
        <v>0</v>
      </c>
      <c r="C11" s="65" t="s">
        <v>202</v>
      </c>
      <c r="D11" s="66" t="s">
        <v>70</v>
      </c>
    </row>
    <row r="12" spans="1:4" ht="15.75" customHeight="1" x14ac:dyDescent="0.45">
      <c r="A12" s="14" t="s">
        <v>203</v>
      </c>
      <c r="B12" s="64" t="str">
        <f>IF(B8&lt;=B9,"Within target","Exceeds target by "&amp;TEXT(B11,"0")&amp;" minutes")</f>
        <v>Within target</v>
      </c>
      <c r="C12" s="65" t="s">
        <v>204</v>
      </c>
      <c r="D12" s="66"/>
    </row>
    <row r="13" spans="1:4" ht="15.75" customHeight="1" x14ac:dyDescent="0.45">
      <c r="A13" s="14" t="s">
        <v>205</v>
      </c>
      <c r="B13" s="88" t="str">
        <f>IF(B8&lt;=B9,"Low",IF(B8&lt;=B9*1.25,"Medium","High"))</f>
        <v>Low</v>
      </c>
      <c r="C13" s="65" t="s">
        <v>206</v>
      </c>
      <c r="D13" s="66"/>
    </row>
    <row r="14" spans="1:4" ht="15.75" customHeight="1" x14ac:dyDescent="0.45">
      <c r="A14" s="14" t="s">
        <v>207</v>
      </c>
      <c r="B14" s="72"/>
      <c r="C14" s="65" t="s">
        <v>141</v>
      </c>
      <c r="D14" s="66"/>
    </row>
    <row r="15" spans="1:4" ht="15.75" customHeight="1" x14ac:dyDescent="0.45">
      <c r="A15" s="14" t="s">
        <v>208</v>
      </c>
      <c r="B15" s="67"/>
      <c r="C15" s="65" t="s">
        <v>141</v>
      </c>
      <c r="D15" s="66"/>
    </row>
    <row r="16" spans="1:4" ht="14.65" thickBot="1" x14ac:dyDescent="0.5">
      <c r="A16" s="44"/>
      <c r="B16" s="44"/>
      <c r="C16" s="44"/>
      <c r="D16" s="44"/>
    </row>
    <row r="17" spans="1:4" ht="18" customHeight="1" thickTop="1" thickBot="1" x14ac:dyDescent="0.5">
      <c r="A17" s="135" t="s">
        <v>495</v>
      </c>
      <c r="B17" s="136"/>
      <c r="C17" s="136"/>
      <c r="D17" s="137"/>
    </row>
    <row r="18" spans="1:4" ht="15.75" customHeight="1" thickTop="1" x14ac:dyDescent="0.45">
      <c r="A18" s="31" t="s">
        <v>209</v>
      </c>
      <c r="B18" s="92" t="str">
        <f>IF(B8&lt;='Recovery Objectives'!B8,"None","Recovery time exceeds RTO target — root cause analysis required")</f>
        <v>None</v>
      </c>
      <c r="C18" s="90" t="s">
        <v>210</v>
      </c>
      <c r="D18" s="91"/>
    </row>
    <row r="19" spans="1:4" ht="15.75" customHeight="1" x14ac:dyDescent="0.45">
      <c r="A19" s="14" t="s">
        <v>211</v>
      </c>
      <c r="B19" s="67"/>
      <c r="C19" s="65" t="s">
        <v>141</v>
      </c>
      <c r="D19" s="66"/>
    </row>
    <row r="20" spans="1:4" ht="15.75" customHeight="1" x14ac:dyDescent="0.45">
      <c r="A20" s="14" t="s">
        <v>212</v>
      </c>
      <c r="B20" s="72"/>
      <c r="C20" s="65" t="s">
        <v>141</v>
      </c>
      <c r="D20" s="66"/>
    </row>
    <row r="21" spans="1:4" ht="15.75" customHeight="1" x14ac:dyDescent="0.45">
      <c r="A21" s="14" t="s">
        <v>205</v>
      </c>
      <c r="B21" s="88" t="str">
        <f>B13</f>
        <v>Low</v>
      </c>
      <c r="C21" s="65" t="s">
        <v>494</v>
      </c>
      <c r="D21" s="66"/>
    </row>
    <row r="22" spans="1:4" ht="15.75" customHeight="1" x14ac:dyDescent="0.45">
      <c r="A22" s="14" t="s">
        <v>213</v>
      </c>
      <c r="B22" s="72"/>
      <c r="C22" s="65" t="s">
        <v>214</v>
      </c>
      <c r="D22" s="66"/>
    </row>
    <row r="23" spans="1:4" ht="15.75" customHeight="1" x14ac:dyDescent="0.45">
      <c r="A23" s="14" t="s">
        <v>215</v>
      </c>
      <c r="B23" s="67"/>
      <c r="C23" s="65" t="s">
        <v>141</v>
      </c>
      <c r="D23" s="66" t="s">
        <v>189</v>
      </c>
    </row>
    <row r="24" spans="1:4" ht="14.65" thickBot="1" x14ac:dyDescent="0.5">
      <c r="A24" s="44"/>
      <c r="B24" s="44"/>
      <c r="C24" s="44"/>
      <c r="D24" s="44"/>
    </row>
    <row r="25" spans="1:4" ht="18" customHeight="1" thickTop="1" thickBot="1" x14ac:dyDescent="0.5">
      <c r="A25" s="135" t="s">
        <v>496</v>
      </c>
      <c r="B25" s="136"/>
      <c r="C25" s="136"/>
      <c r="D25" s="137"/>
    </row>
    <row r="26" spans="1:4" ht="15.75" customHeight="1" thickTop="1" x14ac:dyDescent="0.45">
      <c r="A26" s="31" t="s">
        <v>188</v>
      </c>
      <c r="B26" s="89"/>
      <c r="C26" s="90" t="s">
        <v>141</v>
      </c>
      <c r="D26" s="91" t="s">
        <v>189</v>
      </c>
    </row>
    <row r="27" spans="1:4" ht="15.75" customHeight="1" x14ac:dyDescent="0.45">
      <c r="A27" s="14" t="s">
        <v>190</v>
      </c>
      <c r="B27" s="67"/>
      <c r="C27" s="65" t="s">
        <v>141</v>
      </c>
      <c r="D27" s="66"/>
    </row>
    <row r="28" spans="1:4" ht="15.75" customHeight="1" x14ac:dyDescent="0.45">
      <c r="A28" s="14" t="s">
        <v>216</v>
      </c>
      <c r="B28" s="72"/>
      <c r="C28" s="65" t="s">
        <v>192</v>
      </c>
      <c r="D28" s="66" t="s">
        <v>193</v>
      </c>
    </row>
    <row r="29" spans="1:4" ht="15.75" customHeight="1" x14ac:dyDescent="0.45">
      <c r="A29" s="14" t="s">
        <v>217</v>
      </c>
      <c r="B29" s="67"/>
      <c r="C29" s="65" t="s">
        <v>192</v>
      </c>
      <c r="D29" s="66" t="s">
        <v>193</v>
      </c>
    </row>
    <row r="30" spans="1:4" ht="15.75" customHeight="1" x14ac:dyDescent="0.45">
      <c r="A30" s="14" t="s">
        <v>218</v>
      </c>
      <c r="B30" s="64">
        <f>(B29-B28)*1440</f>
        <v>0</v>
      </c>
      <c r="C30" s="65" t="s">
        <v>219</v>
      </c>
      <c r="D30" s="66" t="s">
        <v>70</v>
      </c>
    </row>
    <row r="31" spans="1:4" ht="15.75" customHeight="1" x14ac:dyDescent="0.45">
      <c r="A31" s="14" t="s">
        <v>220</v>
      </c>
      <c r="B31" s="88">
        <f>'Recovery Objectives'!B26</f>
        <v>4.3822916666666671</v>
      </c>
      <c r="C31" s="65" t="s">
        <v>221</v>
      </c>
      <c r="D31" s="66" t="s">
        <v>70</v>
      </c>
    </row>
    <row r="32" spans="1:4" ht="15.75" customHeight="1" x14ac:dyDescent="0.45">
      <c r="A32" s="14" t="s">
        <v>222</v>
      </c>
      <c r="B32" s="64" t="str">
        <f>IF(B30&lt;=B31,"Compliant","Non-Compliant")</f>
        <v>Compliant</v>
      </c>
      <c r="C32" s="65" t="s">
        <v>223</v>
      </c>
      <c r="D32" s="66"/>
    </row>
    <row r="33" spans="1:4" ht="15.75" customHeight="1" x14ac:dyDescent="0.45">
      <c r="A33" s="14" t="s">
        <v>201</v>
      </c>
      <c r="B33" s="88">
        <f>IF(B30&lt;=B31,0,B30-B31)</f>
        <v>0</v>
      </c>
      <c r="C33" s="65" t="s">
        <v>224</v>
      </c>
      <c r="D33" s="66" t="s">
        <v>70</v>
      </c>
    </row>
    <row r="34" spans="1:4" ht="15.75" customHeight="1" x14ac:dyDescent="0.45">
      <c r="A34" s="14" t="s">
        <v>203</v>
      </c>
      <c r="B34" s="64" t="str">
        <f>IF(B30&lt;=B31,"Within target","Exceeds target by "&amp;TEXT(B33,"0")&amp;" minutes")</f>
        <v>Within target</v>
      </c>
      <c r="C34" s="65" t="s">
        <v>204</v>
      </c>
      <c r="D34" s="66"/>
    </row>
    <row r="35" spans="1:4" ht="15.75" customHeight="1" x14ac:dyDescent="0.45">
      <c r="A35" s="14" t="s">
        <v>205</v>
      </c>
      <c r="B35" s="88" t="str">
        <f>IF(B30&lt;=B31,"Low",IF(B30&lt;=B31*1.25,"Medium","High"))</f>
        <v>Low</v>
      </c>
      <c r="C35" s="65" t="s">
        <v>206</v>
      </c>
      <c r="D35" s="66"/>
    </row>
    <row r="36" spans="1:4" ht="15.75" customHeight="1" x14ac:dyDescent="0.45">
      <c r="A36" s="14" t="s">
        <v>225</v>
      </c>
      <c r="B36" s="72"/>
      <c r="C36" s="65" t="s">
        <v>141</v>
      </c>
      <c r="D36" s="66" t="s">
        <v>226</v>
      </c>
    </row>
    <row r="37" spans="1:4" ht="15.75" customHeight="1" x14ac:dyDescent="0.45">
      <c r="A37" s="14" t="s">
        <v>207</v>
      </c>
      <c r="B37" s="67"/>
      <c r="C37" s="65" t="s">
        <v>141</v>
      </c>
      <c r="D37" s="66"/>
    </row>
    <row r="38" spans="1:4" ht="15.75" customHeight="1" x14ac:dyDescent="0.45">
      <c r="A38" s="14" t="s">
        <v>208</v>
      </c>
      <c r="B38" s="72"/>
      <c r="C38" s="65" t="s">
        <v>141</v>
      </c>
      <c r="D38" s="66"/>
    </row>
    <row r="39" spans="1:4" ht="14.65" thickBot="1" x14ac:dyDescent="0.5">
      <c r="A39" s="44"/>
      <c r="B39" s="44"/>
      <c r="C39" s="44"/>
      <c r="D39" s="44"/>
    </row>
    <row r="40" spans="1:4" ht="18" customHeight="1" thickTop="1" thickBot="1" x14ac:dyDescent="0.5">
      <c r="A40" s="135" t="s">
        <v>497</v>
      </c>
      <c r="B40" s="136"/>
      <c r="C40" s="136"/>
      <c r="D40" s="137"/>
    </row>
    <row r="41" spans="1:4" ht="15.75" customHeight="1" thickTop="1" x14ac:dyDescent="0.45">
      <c r="A41" s="31" t="s">
        <v>209</v>
      </c>
      <c r="B41" s="92" t="str">
        <f>IF(B30&lt;='Recovery Objectives'!B26,"None","Data loss period exceeds RPO target — root cause analysis required")</f>
        <v>None</v>
      </c>
      <c r="C41" s="90" t="s">
        <v>210</v>
      </c>
      <c r="D41" s="91"/>
    </row>
    <row r="42" spans="1:4" ht="15.75" customHeight="1" x14ac:dyDescent="0.45">
      <c r="A42" s="14" t="s">
        <v>211</v>
      </c>
      <c r="B42" s="67"/>
      <c r="C42" s="65" t="s">
        <v>141</v>
      </c>
      <c r="D42" s="66"/>
    </row>
    <row r="43" spans="1:4" ht="15.75" customHeight="1" x14ac:dyDescent="0.45">
      <c r="A43" s="14" t="s">
        <v>212</v>
      </c>
      <c r="B43" s="72"/>
      <c r="C43" s="65" t="s">
        <v>141</v>
      </c>
      <c r="D43" s="66"/>
    </row>
    <row r="44" spans="1:4" ht="15.75" customHeight="1" x14ac:dyDescent="0.45">
      <c r="A44" s="14" t="s">
        <v>205</v>
      </c>
      <c r="B44" s="88" t="str">
        <f>B35</f>
        <v>Low</v>
      </c>
      <c r="C44" s="65" t="s">
        <v>498</v>
      </c>
      <c r="D44" s="66"/>
    </row>
    <row r="45" spans="1:4" ht="15.75" customHeight="1" x14ac:dyDescent="0.45">
      <c r="A45" s="14" t="s">
        <v>213</v>
      </c>
      <c r="B45" s="72"/>
      <c r="C45" s="65" t="s">
        <v>214</v>
      </c>
      <c r="D45" s="66"/>
    </row>
    <row r="46" spans="1:4" ht="15.75" customHeight="1" x14ac:dyDescent="0.45">
      <c r="A46" s="14" t="s">
        <v>215</v>
      </c>
      <c r="B46" s="67"/>
      <c r="C46" s="65" t="s">
        <v>141</v>
      </c>
      <c r="D46" s="66" t="s">
        <v>189</v>
      </c>
    </row>
    <row r="47" spans="1:4" x14ac:dyDescent="0.45">
      <c r="A47" s="44"/>
      <c r="B47" s="44"/>
      <c r="C47" s="44"/>
      <c r="D47" s="44"/>
    </row>
    <row r="48" spans="1:4" x14ac:dyDescent="0.45">
      <c r="A48" s="44"/>
      <c r="B48" s="44"/>
      <c r="C48" s="44"/>
      <c r="D48" s="44"/>
    </row>
    <row r="49" spans="1:4" x14ac:dyDescent="0.45">
      <c r="A49" s="44"/>
      <c r="B49" s="44"/>
      <c r="C49" s="44"/>
      <c r="D49" s="44"/>
    </row>
    <row r="50" spans="1:4" x14ac:dyDescent="0.45">
      <c r="A50" s="44"/>
      <c r="B50" s="44"/>
      <c r="C50" s="44"/>
      <c r="D50" s="44"/>
    </row>
    <row r="51" spans="1:4" x14ac:dyDescent="0.45">
      <c r="A51" s="44"/>
      <c r="B51" s="44"/>
      <c r="C51" s="44"/>
      <c r="D51" s="44"/>
    </row>
    <row r="52" spans="1:4" x14ac:dyDescent="0.45">
      <c r="A52" s="44"/>
      <c r="B52" s="44"/>
      <c r="C52" s="44"/>
      <c r="D52" s="44"/>
    </row>
    <row r="53" spans="1:4" x14ac:dyDescent="0.45">
      <c r="A53" s="44"/>
      <c r="B53" s="44"/>
      <c r="C53" s="44"/>
      <c r="D53" s="44"/>
    </row>
    <row r="54" spans="1:4" x14ac:dyDescent="0.45">
      <c r="A54" s="44"/>
      <c r="B54" s="44"/>
      <c r="C54" s="44"/>
      <c r="D54" s="44"/>
    </row>
    <row r="55" spans="1:4" x14ac:dyDescent="0.45">
      <c r="A55" s="44"/>
      <c r="B55" s="44"/>
      <c r="C55" s="44"/>
      <c r="D55" s="44"/>
    </row>
    <row r="56" spans="1:4" x14ac:dyDescent="0.45">
      <c r="A56" s="44"/>
      <c r="B56" s="44"/>
      <c r="C56" s="44"/>
      <c r="D56" s="44"/>
    </row>
    <row r="57" spans="1:4" x14ac:dyDescent="0.45">
      <c r="A57" s="44"/>
      <c r="B57" s="44"/>
      <c r="C57" s="44"/>
      <c r="D57" s="44"/>
    </row>
    <row r="58" spans="1:4" x14ac:dyDescent="0.45">
      <c r="A58" s="44"/>
      <c r="B58" s="44"/>
      <c r="C58" s="44"/>
      <c r="D58" s="44"/>
    </row>
    <row r="59" spans="1:4" x14ac:dyDescent="0.45">
      <c r="A59" s="44"/>
      <c r="B59" s="44"/>
      <c r="C59" s="44"/>
      <c r="D59" s="44"/>
    </row>
    <row r="60" spans="1:4" x14ac:dyDescent="0.45">
      <c r="A60" s="44"/>
      <c r="B60" s="44"/>
      <c r="C60" s="44"/>
      <c r="D60" s="44"/>
    </row>
    <row r="61" spans="1:4" x14ac:dyDescent="0.45">
      <c r="A61" s="44"/>
      <c r="B61" s="44"/>
      <c r="C61" s="44"/>
      <c r="D61" s="44"/>
    </row>
    <row r="62" spans="1:4" x14ac:dyDescent="0.45">
      <c r="A62" s="44"/>
      <c r="B62" s="44"/>
      <c r="C62" s="44"/>
      <c r="D62" s="44"/>
    </row>
    <row r="63" spans="1:4" x14ac:dyDescent="0.45">
      <c r="A63" s="44"/>
      <c r="B63" s="44"/>
      <c r="C63" s="44"/>
      <c r="D63" s="44"/>
    </row>
    <row r="64" spans="1:4" x14ac:dyDescent="0.45">
      <c r="A64" s="44"/>
      <c r="B64" s="44"/>
      <c r="C64" s="44"/>
      <c r="D64" s="44"/>
    </row>
    <row r="65" spans="1:4" x14ac:dyDescent="0.45">
      <c r="A65" s="44"/>
      <c r="B65" s="44"/>
      <c r="C65" s="44"/>
      <c r="D65" s="44"/>
    </row>
    <row r="66" spans="1:4" x14ac:dyDescent="0.45">
      <c r="A66" s="44"/>
      <c r="B66" s="44"/>
      <c r="C66" s="44"/>
      <c r="D66" s="44"/>
    </row>
    <row r="67" spans="1:4" x14ac:dyDescent="0.45">
      <c r="A67" s="44"/>
      <c r="B67" s="44"/>
      <c r="C67" s="44"/>
      <c r="D67" s="44"/>
    </row>
    <row r="68" spans="1:4" x14ac:dyDescent="0.45">
      <c r="A68" s="44"/>
      <c r="B68" s="44"/>
      <c r="C68" s="44"/>
      <c r="D68" s="44"/>
    </row>
    <row r="69" spans="1:4" x14ac:dyDescent="0.45">
      <c r="A69" s="44"/>
      <c r="B69" s="44"/>
      <c r="C69" s="44"/>
      <c r="D69" s="44"/>
    </row>
    <row r="70" spans="1:4" x14ac:dyDescent="0.45">
      <c r="A70" s="44"/>
      <c r="B70" s="44"/>
      <c r="C70" s="44"/>
      <c r="D70" s="44"/>
    </row>
    <row r="71" spans="1:4" x14ac:dyDescent="0.45">
      <c r="A71" s="44"/>
      <c r="B71" s="44"/>
      <c r="C71" s="44"/>
      <c r="D71" s="44"/>
    </row>
    <row r="72" spans="1:4" x14ac:dyDescent="0.45">
      <c r="A72" s="44"/>
      <c r="B72" s="44"/>
      <c r="C72" s="44"/>
      <c r="D72" s="44"/>
    </row>
    <row r="73" spans="1:4" x14ac:dyDescent="0.45">
      <c r="A73" s="44"/>
      <c r="B73" s="44"/>
      <c r="C73" s="44"/>
      <c r="D73" s="44"/>
    </row>
    <row r="74" spans="1:4" x14ac:dyDescent="0.45">
      <c r="A74" s="44"/>
      <c r="B74" s="44"/>
      <c r="C74" s="44"/>
      <c r="D74" s="44"/>
    </row>
    <row r="75" spans="1:4" x14ac:dyDescent="0.45">
      <c r="A75" s="44"/>
      <c r="B75" s="44"/>
      <c r="C75" s="44"/>
      <c r="D75" s="44"/>
    </row>
    <row r="76" spans="1:4" x14ac:dyDescent="0.45">
      <c r="A76" s="44"/>
      <c r="B76" s="44"/>
      <c r="C76" s="44"/>
      <c r="D76" s="44"/>
    </row>
    <row r="77" spans="1:4" x14ac:dyDescent="0.45">
      <c r="A77" s="44"/>
      <c r="B77" s="44"/>
      <c r="C77" s="44"/>
      <c r="D77" s="44"/>
    </row>
    <row r="78" spans="1:4" x14ac:dyDescent="0.45">
      <c r="A78" s="44"/>
      <c r="B78" s="44"/>
      <c r="C78" s="44"/>
      <c r="D78" s="44"/>
    </row>
    <row r="79" spans="1:4" x14ac:dyDescent="0.45">
      <c r="A79" s="44"/>
      <c r="B79" s="44"/>
      <c r="C79" s="44"/>
      <c r="D79" s="44"/>
    </row>
    <row r="80" spans="1:4" x14ac:dyDescent="0.45">
      <c r="A80" s="44"/>
      <c r="B80" s="44"/>
      <c r="C80" s="44"/>
      <c r="D80" s="44"/>
    </row>
    <row r="81" spans="1:4" x14ac:dyDescent="0.45">
      <c r="A81" s="44"/>
      <c r="B81" s="44"/>
      <c r="C81" s="44"/>
      <c r="D81" s="44"/>
    </row>
    <row r="82" spans="1:4" x14ac:dyDescent="0.45">
      <c r="A82" s="44"/>
      <c r="B82" s="44"/>
      <c r="C82" s="44"/>
      <c r="D82" s="44"/>
    </row>
    <row r="83" spans="1:4" x14ac:dyDescent="0.45">
      <c r="A83" s="44"/>
      <c r="B83" s="44"/>
      <c r="C83" s="44"/>
      <c r="D83" s="44"/>
    </row>
    <row r="84" spans="1:4" x14ac:dyDescent="0.45">
      <c r="A84" s="44"/>
      <c r="B84" s="44"/>
      <c r="C84" s="44"/>
      <c r="D84" s="44"/>
    </row>
    <row r="85" spans="1:4" x14ac:dyDescent="0.45">
      <c r="A85" s="44"/>
      <c r="B85" s="44"/>
      <c r="C85" s="44"/>
      <c r="D85" s="44"/>
    </row>
    <row r="86" spans="1:4" x14ac:dyDescent="0.45">
      <c r="A86" s="44"/>
      <c r="B86" s="44"/>
      <c r="C86" s="44"/>
      <c r="D86" s="44"/>
    </row>
    <row r="87" spans="1:4" x14ac:dyDescent="0.45">
      <c r="A87" s="44"/>
      <c r="B87" s="44"/>
      <c r="C87" s="44"/>
      <c r="D87" s="44"/>
    </row>
    <row r="88" spans="1:4" x14ac:dyDescent="0.45">
      <c r="A88" s="44"/>
      <c r="B88" s="44"/>
      <c r="C88" s="44"/>
      <c r="D88" s="44"/>
    </row>
    <row r="89" spans="1:4" x14ac:dyDescent="0.45">
      <c r="A89" s="44"/>
      <c r="B89" s="44"/>
      <c r="C89" s="44"/>
      <c r="D89" s="44"/>
    </row>
    <row r="90" spans="1:4" x14ac:dyDescent="0.45">
      <c r="A90" s="44"/>
      <c r="B90" s="44"/>
      <c r="C90" s="44"/>
      <c r="D90" s="44"/>
    </row>
    <row r="91" spans="1:4" x14ac:dyDescent="0.45">
      <c r="A91" s="44"/>
      <c r="B91" s="44"/>
      <c r="C91" s="44"/>
      <c r="D91" s="44"/>
    </row>
    <row r="92" spans="1:4" x14ac:dyDescent="0.45">
      <c r="A92" s="44"/>
      <c r="B92" s="44"/>
      <c r="C92" s="44"/>
      <c r="D92" s="44"/>
    </row>
    <row r="93" spans="1:4" x14ac:dyDescent="0.45">
      <c r="A93" s="44"/>
      <c r="B93" s="44"/>
      <c r="C93" s="44"/>
      <c r="D93" s="44"/>
    </row>
    <row r="94" spans="1:4" x14ac:dyDescent="0.45">
      <c r="A94" s="44"/>
      <c r="B94" s="44"/>
      <c r="C94" s="44"/>
      <c r="D94" s="44"/>
    </row>
    <row r="95" spans="1:4" x14ac:dyDescent="0.45">
      <c r="A95" s="44"/>
      <c r="B95" s="44"/>
      <c r="C95" s="44"/>
      <c r="D95" s="44"/>
    </row>
    <row r="96" spans="1:4" x14ac:dyDescent="0.45">
      <c r="A96" s="44"/>
      <c r="B96" s="44"/>
      <c r="C96" s="44"/>
      <c r="D96" s="44"/>
    </row>
    <row r="97" spans="1:4" x14ac:dyDescent="0.45">
      <c r="A97" s="44"/>
      <c r="B97" s="44"/>
      <c r="C97" s="44"/>
      <c r="D97" s="44"/>
    </row>
    <row r="98" spans="1:4" x14ac:dyDescent="0.45">
      <c r="A98" s="44"/>
      <c r="B98" s="44"/>
      <c r="C98" s="44"/>
      <c r="D98" s="44"/>
    </row>
    <row r="99" spans="1:4" x14ac:dyDescent="0.45">
      <c r="A99" s="44"/>
      <c r="B99" s="44"/>
      <c r="C99" s="44"/>
      <c r="D99" s="44"/>
    </row>
    <row r="100" spans="1:4" x14ac:dyDescent="0.45">
      <c r="A100" s="44"/>
      <c r="B100" s="44"/>
      <c r="C100" s="44"/>
      <c r="D100" s="44"/>
    </row>
    <row r="101" spans="1:4" x14ac:dyDescent="0.45">
      <c r="A101" s="44"/>
      <c r="B101" s="44"/>
      <c r="C101" s="44"/>
      <c r="D101" s="44"/>
    </row>
    <row r="102" spans="1:4" x14ac:dyDescent="0.45">
      <c r="A102" s="44"/>
      <c r="B102" s="44"/>
      <c r="C102" s="44"/>
      <c r="D102" s="44"/>
    </row>
    <row r="103" spans="1:4" x14ac:dyDescent="0.45">
      <c r="A103" s="44"/>
      <c r="B103" s="44"/>
      <c r="C103" s="44"/>
      <c r="D103" s="44"/>
    </row>
    <row r="104" spans="1:4" x14ac:dyDescent="0.45">
      <c r="A104" s="44"/>
      <c r="B104" s="44"/>
      <c r="C104" s="44"/>
      <c r="D104" s="44"/>
    </row>
    <row r="105" spans="1:4" x14ac:dyDescent="0.45">
      <c r="A105" s="44"/>
      <c r="B105" s="44"/>
      <c r="C105" s="44"/>
      <c r="D105" s="44"/>
    </row>
    <row r="106" spans="1:4" x14ac:dyDescent="0.45">
      <c r="A106" s="44"/>
      <c r="B106" s="44"/>
      <c r="C106" s="44"/>
      <c r="D106" s="44"/>
    </row>
    <row r="107" spans="1:4" x14ac:dyDescent="0.45">
      <c r="A107" s="44"/>
      <c r="B107" s="44"/>
      <c r="C107" s="44"/>
      <c r="D107" s="44"/>
    </row>
    <row r="108" spans="1:4" x14ac:dyDescent="0.45">
      <c r="A108" s="44"/>
      <c r="B108" s="44"/>
      <c r="C108" s="44"/>
      <c r="D108" s="44"/>
    </row>
    <row r="109" spans="1:4" x14ac:dyDescent="0.45">
      <c r="A109" s="44"/>
      <c r="B109" s="44"/>
      <c r="C109" s="44"/>
      <c r="D109" s="44"/>
    </row>
    <row r="110" spans="1:4" x14ac:dyDescent="0.45">
      <c r="A110" s="44"/>
      <c r="B110" s="44"/>
      <c r="C110" s="44"/>
      <c r="D110" s="44"/>
    </row>
    <row r="111" spans="1:4" x14ac:dyDescent="0.45">
      <c r="A111" s="44"/>
      <c r="B111" s="44"/>
      <c r="C111" s="44"/>
      <c r="D111" s="44"/>
    </row>
    <row r="112" spans="1:4" x14ac:dyDescent="0.45">
      <c r="A112" s="44"/>
      <c r="B112" s="44"/>
      <c r="C112" s="44"/>
      <c r="D112" s="44"/>
    </row>
    <row r="113" spans="1:4" x14ac:dyDescent="0.45">
      <c r="A113" s="44"/>
      <c r="B113" s="44"/>
      <c r="C113" s="44"/>
      <c r="D113" s="44"/>
    </row>
  </sheetData>
  <mergeCells count="5">
    <mergeCell ref="A1:D1"/>
    <mergeCell ref="A3:D3"/>
    <mergeCell ref="A17:D17"/>
    <mergeCell ref="A25:D25"/>
    <mergeCell ref="A40:D40"/>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6"/>
  <sheetViews>
    <sheetView showGridLines="0" zoomScaleNormal="100" workbookViewId="0">
      <pane ySplit="1" topLeftCell="A2" activePane="bottomLeft" state="frozen"/>
      <selection pane="bottomLeft" activeCell="B20" sqref="B20"/>
    </sheetView>
  </sheetViews>
  <sheetFormatPr defaultColWidth="8.6640625" defaultRowHeight="14.25" x14ac:dyDescent="0.45"/>
  <cols>
    <col min="1" max="1" width="40" customWidth="1"/>
    <col min="2" max="2" width="22" customWidth="1"/>
    <col min="3" max="3" width="54.73046875" customWidth="1"/>
    <col min="4" max="4" width="17.9296875" customWidth="1"/>
    <col min="5" max="5" width="50.46484375" customWidth="1"/>
  </cols>
  <sheetData>
    <row r="1" spans="1:5" ht="25.5" customHeight="1" thickBot="1" x14ac:dyDescent="0.5">
      <c r="A1" s="124" t="s">
        <v>227</v>
      </c>
      <c r="B1" s="124"/>
      <c r="C1" s="124"/>
      <c r="D1" s="124"/>
      <c r="E1" s="124"/>
    </row>
    <row r="2" spans="1:5" ht="18" customHeight="1" thickTop="1" thickBot="1" x14ac:dyDescent="0.5">
      <c r="A2" s="135" t="s">
        <v>499</v>
      </c>
      <c r="B2" s="136"/>
      <c r="C2" s="136"/>
      <c r="D2" s="136"/>
      <c r="E2" s="137"/>
    </row>
    <row r="3" spans="1:5" ht="15" customHeight="1" thickTop="1" x14ac:dyDescent="0.45">
      <c r="A3" s="71" t="s">
        <v>45</v>
      </c>
      <c r="B3" s="71" t="s">
        <v>64</v>
      </c>
      <c r="C3" s="71" t="s">
        <v>228</v>
      </c>
      <c r="D3" s="71" t="s">
        <v>65</v>
      </c>
      <c r="E3" s="71" t="s">
        <v>68</v>
      </c>
    </row>
    <row r="4" spans="1:5" ht="21" customHeight="1" x14ac:dyDescent="0.45">
      <c r="A4" s="14" t="s">
        <v>229</v>
      </c>
      <c r="B4" s="64">
        <f>Parameters!C5+Parameters!C6+Parameters!C7+Parameters!C8</f>
        <v>120</v>
      </c>
      <c r="C4" s="65" t="s">
        <v>230</v>
      </c>
      <c r="D4" s="66" t="s">
        <v>70</v>
      </c>
      <c r="E4" s="94" t="s">
        <v>231</v>
      </c>
    </row>
    <row r="5" spans="1:5" ht="15.75" customHeight="1" x14ac:dyDescent="0.45">
      <c r="A5" s="14" t="s">
        <v>232</v>
      </c>
      <c r="B5" s="64">
        <f>(Parameters!C21-1)/4</f>
        <v>0.5</v>
      </c>
      <c r="C5" s="65" t="s">
        <v>233</v>
      </c>
      <c r="D5" s="66" t="s">
        <v>234</v>
      </c>
      <c r="E5" s="94" t="s">
        <v>235</v>
      </c>
    </row>
    <row r="6" spans="1:5" ht="15.75" customHeight="1" x14ac:dyDescent="0.45">
      <c r="A6" s="14" t="s">
        <v>236</v>
      </c>
      <c r="B6" s="64">
        <f>(Parameters!C22-1)/4</f>
        <v>0.25</v>
      </c>
      <c r="C6" s="65" t="s">
        <v>237</v>
      </c>
      <c r="D6" s="66" t="s">
        <v>234</v>
      </c>
      <c r="E6" s="94" t="s">
        <v>238</v>
      </c>
    </row>
    <row r="7" spans="1:5" ht="15.75" customHeight="1" x14ac:dyDescent="0.45">
      <c r="A7" s="14" t="s">
        <v>239</v>
      </c>
      <c r="B7" s="64">
        <f>B4*(1+B5)*(1+B6)</f>
        <v>225</v>
      </c>
      <c r="C7" s="65" t="s">
        <v>240</v>
      </c>
      <c r="D7" s="66" t="s">
        <v>70</v>
      </c>
      <c r="E7" s="94"/>
    </row>
    <row r="8" spans="1:5" x14ac:dyDescent="0.45">
      <c r="A8" s="14" t="s">
        <v>241</v>
      </c>
      <c r="B8" s="64">
        <f>ROUND(B7/60,1)</f>
        <v>3.8</v>
      </c>
      <c r="C8" s="65" t="s">
        <v>242</v>
      </c>
      <c r="D8" s="66" t="s">
        <v>137</v>
      </c>
      <c r="E8" s="94"/>
    </row>
    <row r="9" spans="1:5" ht="18" customHeight="1" thickBot="1" x14ac:dyDescent="0.5">
      <c r="A9" s="44"/>
      <c r="B9" s="44"/>
      <c r="C9" s="44"/>
      <c r="D9" s="44"/>
      <c r="E9" s="44"/>
    </row>
    <row r="10" spans="1:5" ht="15" customHeight="1" thickTop="1" thickBot="1" x14ac:dyDescent="0.5">
      <c r="A10" s="135" t="s">
        <v>500</v>
      </c>
      <c r="B10" s="136"/>
      <c r="C10" s="136"/>
      <c r="D10" s="136"/>
      <c r="E10" s="137"/>
    </row>
    <row r="11" spans="1:5" ht="15" customHeight="1" thickTop="1" x14ac:dyDescent="0.45">
      <c r="A11" s="71" t="s">
        <v>243</v>
      </c>
      <c r="B11" s="71" t="s">
        <v>244</v>
      </c>
      <c r="C11" s="71" t="s">
        <v>245</v>
      </c>
      <c r="D11" s="71" t="s">
        <v>246</v>
      </c>
      <c r="E11" s="71" t="s">
        <v>68</v>
      </c>
    </row>
    <row r="12" spans="1:5" ht="15" customHeight="1" x14ac:dyDescent="0.45">
      <c r="A12" s="106" t="s">
        <v>247</v>
      </c>
      <c r="B12" s="108"/>
      <c r="C12" s="95">
        <f>B7</f>
        <v>225</v>
      </c>
      <c r="D12" s="68" t="str">
        <f>IF(B12="","Pending",IF(B12&lt;=C12,"Compliant","Non-Compliant"))</f>
        <v>Pending</v>
      </c>
      <c r="E12" s="96"/>
    </row>
    <row r="13" spans="1:5" ht="15" customHeight="1" x14ac:dyDescent="0.45">
      <c r="A13" s="107" t="s">
        <v>248</v>
      </c>
      <c r="B13" s="108"/>
      <c r="C13" s="95">
        <f>B7</f>
        <v>225</v>
      </c>
      <c r="D13" s="68" t="str">
        <f>IF(B13="","Pending",IF(B13&lt;=C13,"Compliant","Non-Compliant"))</f>
        <v>Pending</v>
      </c>
      <c r="E13" s="97"/>
    </row>
    <row r="14" spans="1:5" ht="19.5" customHeight="1" x14ac:dyDescent="0.45">
      <c r="A14" s="106" t="s">
        <v>249</v>
      </c>
      <c r="B14" s="108"/>
      <c r="C14" s="95">
        <f>B7</f>
        <v>225</v>
      </c>
      <c r="D14" s="68" t="str">
        <f>IF(B14="","Pending",IF(B14&lt;=C14,"Compliant","Non-Compliant"))</f>
        <v>Pending</v>
      </c>
      <c r="E14" s="96"/>
    </row>
    <row r="15" spans="1:5" x14ac:dyDescent="0.45">
      <c r="A15" s="14" t="s">
        <v>250</v>
      </c>
      <c r="B15" s="109" t="str">
        <f>IF(B12="","Pending",IF(B12&lt;B13,"Improving",IF(B12=B13,"Stable","Degrading")))</f>
        <v>Pending</v>
      </c>
      <c r="C15" s="65" t="s">
        <v>251</v>
      </c>
      <c r="D15" s="66"/>
      <c r="E15" s="94" t="s">
        <v>252</v>
      </c>
    </row>
    <row r="16" spans="1:5" ht="18" customHeight="1" thickBot="1" x14ac:dyDescent="0.5">
      <c r="A16" s="44"/>
      <c r="B16" s="44"/>
      <c r="C16" s="44"/>
      <c r="D16" s="44"/>
      <c r="E16" s="44"/>
    </row>
    <row r="17" spans="1:5" ht="15" customHeight="1" thickTop="1" thickBot="1" x14ac:dyDescent="0.5">
      <c r="A17" s="135" t="s">
        <v>501</v>
      </c>
      <c r="B17" s="136"/>
      <c r="C17" s="137"/>
    </row>
    <row r="18" spans="1:5" ht="15" customHeight="1" thickTop="1" x14ac:dyDescent="0.45">
      <c r="A18" s="71" t="s">
        <v>253</v>
      </c>
      <c r="B18" s="71" t="s">
        <v>254</v>
      </c>
      <c r="C18" s="71" t="s">
        <v>255</v>
      </c>
    </row>
    <row r="19" spans="1:5" ht="15" customHeight="1" x14ac:dyDescent="0.45">
      <c r="A19" s="34" t="s">
        <v>256</v>
      </c>
      <c r="B19" s="98">
        <f>Parameters!C5</f>
        <v>15</v>
      </c>
      <c r="C19" s="103" t="s">
        <v>505</v>
      </c>
    </row>
    <row r="20" spans="1:5" ht="15" customHeight="1" x14ac:dyDescent="0.45">
      <c r="A20" s="40" t="s">
        <v>257</v>
      </c>
      <c r="B20" s="36">
        <f>B4-SUM(B19:B19,B21:B22)</f>
        <v>30</v>
      </c>
      <c r="C20" s="104" t="s">
        <v>511</v>
      </c>
    </row>
    <row r="21" spans="1:5" ht="15" customHeight="1" x14ac:dyDescent="0.45">
      <c r="A21" s="34" t="s">
        <v>258</v>
      </c>
      <c r="B21" s="98">
        <f>Parameters!C7</f>
        <v>60</v>
      </c>
      <c r="C21" s="103" t="s">
        <v>509</v>
      </c>
    </row>
    <row r="22" spans="1:5" ht="15.75" customHeight="1" thickBot="1" x14ac:dyDescent="0.5">
      <c r="A22" s="45" t="s">
        <v>259</v>
      </c>
      <c r="B22" s="98">
        <f>Parameters!C8</f>
        <v>15</v>
      </c>
      <c r="C22" s="104" t="s">
        <v>510</v>
      </c>
    </row>
    <row r="23" spans="1:5" ht="15" thickTop="1" thickBot="1" x14ac:dyDescent="0.5">
      <c r="A23" s="111" t="s">
        <v>260</v>
      </c>
      <c r="B23" s="110">
        <f>IFERROR(SUM(B19:B22),0)</f>
        <v>120</v>
      </c>
      <c r="C23" s="105" t="s">
        <v>261</v>
      </c>
    </row>
    <row r="24" spans="1:5" ht="18" customHeight="1" thickTop="1" thickBot="1" x14ac:dyDescent="0.5">
      <c r="A24" s="44"/>
      <c r="B24" s="44"/>
      <c r="C24" s="44"/>
      <c r="D24" s="44"/>
      <c r="E24" s="44"/>
    </row>
    <row r="25" spans="1:5" ht="15.75" customHeight="1" thickTop="1" thickBot="1" x14ac:dyDescent="0.5">
      <c r="A25" s="135" t="s">
        <v>502</v>
      </c>
      <c r="B25" s="136"/>
      <c r="C25" s="136"/>
      <c r="D25" s="136"/>
      <c r="E25" s="137"/>
    </row>
    <row r="26" spans="1:5" ht="15.75" customHeight="1" thickTop="1" x14ac:dyDescent="0.45">
      <c r="A26" s="71" t="s">
        <v>45</v>
      </c>
      <c r="B26" s="71" t="s">
        <v>64</v>
      </c>
      <c r="C26" s="71" t="s">
        <v>228</v>
      </c>
      <c r="D26" s="71" t="s">
        <v>65</v>
      </c>
      <c r="E26" s="71" t="s">
        <v>68</v>
      </c>
    </row>
    <row r="27" spans="1:5" ht="15.75" customHeight="1" x14ac:dyDescent="0.45">
      <c r="A27" s="14" t="s">
        <v>262</v>
      </c>
      <c r="B27" s="64">
        <f>IFERROR(1/Parameters!C12,9999)</f>
        <v>45.45454545454546</v>
      </c>
      <c r="C27" s="65" t="s">
        <v>263</v>
      </c>
      <c r="D27" s="66" t="s">
        <v>264</v>
      </c>
      <c r="E27" s="94" t="s">
        <v>265</v>
      </c>
    </row>
    <row r="28" spans="1:5" ht="15.75" customHeight="1" x14ac:dyDescent="0.45">
      <c r="A28" s="14" t="s">
        <v>266</v>
      </c>
      <c r="B28" s="64">
        <f>Parameters!C17/3</f>
        <v>0.66666666666666663</v>
      </c>
      <c r="C28" s="65" t="s">
        <v>267</v>
      </c>
      <c r="D28" s="66" t="s">
        <v>234</v>
      </c>
      <c r="E28" s="94" t="s">
        <v>268</v>
      </c>
    </row>
    <row r="29" spans="1:5" ht="15.75" customHeight="1" x14ac:dyDescent="0.45">
      <c r="A29" s="14" t="s">
        <v>269</v>
      </c>
      <c r="B29" s="64">
        <f>Parameters!C18/3</f>
        <v>1</v>
      </c>
      <c r="C29" s="65" t="s">
        <v>270</v>
      </c>
      <c r="D29" s="66" t="s">
        <v>234</v>
      </c>
      <c r="E29" s="94" t="s">
        <v>271</v>
      </c>
    </row>
    <row r="30" spans="1:5" x14ac:dyDescent="0.45">
      <c r="A30" s="14" t="s">
        <v>272</v>
      </c>
      <c r="B30" s="64">
        <f>B27*B28*B29</f>
        <v>30.303030303030305</v>
      </c>
      <c r="C30" s="65" t="s">
        <v>273</v>
      </c>
      <c r="D30" s="66" t="s">
        <v>264</v>
      </c>
      <c r="E30" s="94"/>
    </row>
    <row r="31" spans="1:5" ht="18" customHeight="1" thickBot="1" x14ac:dyDescent="0.5">
      <c r="A31" s="44"/>
      <c r="B31" s="44"/>
      <c r="C31" s="44"/>
      <c r="D31" s="44"/>
      <c r="E31" s="44"/>
    </row>
    <row r="32" spans="1:5" ht="15" customHeight="1" thickTop="1" thickBot="1" x14ac:dyDescent="0.5">
      <c r="A32" s="135" t="s">
        <v>503</v>
      </c>
      <c r="B32" s="136"/>
      <c r="C32" s="136"/>
      <c r="D32" s="136"/>
      <c r="E32" s="137"/>
    </row>
    <row r="33" spans="1:5" ht="15" customHeight="1" thickTop="1" x14ac:dyDescent="0.45">
      <c r="A33" s="71" t="s">
        <v>243</v>
      </c>
      <c r="B33" s="71" t="s">
        <v>274</v>
      </c>
      <c r="C33" s="71" t="s">
        <v>275</v>
      </c>
      <c r="D33" s="71" t="s">
        <v>276</v>
      </c>
      <c r="E33" s="71" t="s">
        <v>246</v>
      </c>
    </row>
    <row r="34" spans="1:5" ht="15" customHeight="1" x14ac:dyDescent="0.45">
      <c r="A34" s="34" t="s">
        <v>247</v>
      </c>
      <c r="B34" s="36"/>
      <c r="C34" s="68" t="str">
        <f>IFERROR(IF(B34&gt;0,30/B34,"No failures"),"No failures")</f>
        <v>No failures</v>
      </c>
      <c r="D34" s="95">
        <f>B30</f>
        <v>30.303030303030305</v>
      </c>
      <c r="E34" s="68" t="str">
        <f>IFERROR(IF(B34="","Pending",IF(B34=0,"Compliant",IF(30/B34&gt;=B30,"Compliant","Non-Compliant"))),"Pending")</f>
        <v>Pending</v>
      </c>
    </row>
    <row r="35" spans="1:5" ht="15" customHeight="1" x14ac:dyDescent="0.45">
      <c r="A35" s="40" t="s">
        <v>248</v>
      </c>
      <c r="B35" s="36"/>
      <c r="C35" s="68" t="str">
        <f>IFERROR(IF(B35&gt;0,90/B35,"No failures"),"No failures")</f>
        <v>No failures</v>
      </c>
      <c r="D35" s="95">
        <f>B30</f>
        <v>30.303030303030305</v>
      </c>
      <c r="E35" s="68" t="str">
        <f>IFERROR(IF(B35="","Pending",IF(B35=0,"Compliant",IF(90/B35&gt;=B30,"Compliant","Non-Compliant"))),"Pending")</f>
        <v>Pending</v>
      </c>
    </row>
    <row r="36" spans="1:5" x14ac:dyDescent="0.45">
      <c r="A36" s="34" t="s">
        <v>249</v>
      </c>
      <c r="B36" s="36"/>
      <c r="C36" s="68" t="str">
        <f>IFERROR(IF(B36&gt;0,365/B36,"No failures"),"No failures")</f>
        <v>No failures</v>
      </c>
      <c r="D36" s="95">
        <f>B30</f>
        <v>30.303030303030305</v>
      </c>
      <c r="E36" s="68" t="str">
        <f>IFERROR(IF(B36="","Pending",IF(B36=0,"Compliant",IF(365/B36&gt;=B30,"Compliant","Non-Compliant"))),"Pending")</f>
        <v>Pending</v>
      </c>
    </row>
    <row r="37" spans="1:5" ht="18" customHeight="1" thickBot="1" x14ac:dyDescent="0.5">
      <c r="A37" s="44"/>
      <c r="B37" s="44"/>
      <c r="C37" s="44"/>
      <c r="D37" s="44"/>
      <c r="E37" s="44"/>
    </row>
    <row r="38" spans="1:5" ht="15" customHeight="1" thickTop="1" thickBot="1" x14ac:dyDescent="0.5">
      <c r="A38" s="135" t="s">
        <v>504</v>
      </c>
      <c r="B38" s="136"/>
      <c r="C38" s="136"/>
      <c r="D38" s="136"/>
      <c r="E38" s="137"/>
    </row>
    <row r="39" spans="1:5" ht="15" customHeight="1" thickTop="1" x14ac:dyDescent="0.45">
      <c r="A39" s="71" t="s">
        <v>277</v>
      </c>
      <c r="B39" s="71" t="s">
        <v>274</v>
      </c>
      <c r="C39" s="71" t="s">
        <v>278</v>
      </c>
      <c r="D39" s="71" t="s">
        <v>279</v>
      </c>
      <c r="E39" s="71" t="s">
        <v>68</v>
      </c>
    </row>
    <row r="40" spans="1:5" ht="15" customHeight="1" x14ac:dyDescent="0.45">
      <c r="A40" s="34" t="s">
        <v>280</v>
      </c>
      <c r="B40" s="36"/>
      <c r="C40" s="99">
        <f>IFERROR(B40/SUM($B$40:$B$44),0)</f>
        <v>0</v>
      </c>
      <c r="D40" s="100" t="str">
        <f>IFERROR(REPT("|",ROUND(C40*40,0)),"")</f>
        <v/>
      </c>
      <c r="E40" s="96"/>
    </row>
    <row r="41" spans="1:5" ht="15" customHeight="1" x14ac:dyDescent="0.45">
      <c r="A41" s="40" t="s">
        <v>281</v>
      </c>
      <c r="B41" s="36"/>
      <c r="C41" s="99">
        <f>IFERROR(B41/SUM($B$40:$B$44),0)</f>
        <v>0</v>
      </c>
      <c r="D41" s="101" t="str">
        <f>IFERROR(REPT("|",ROUND(C41*40,0)),"")</f>
        <v/>
      </c>
      <c r="E41" s="97"/>
    </row>
    <row r="42" spans="1:5" ht="15" customHeight="1" x14ac:dyDescent="0.45">
      <c r="A42" s="34" t="s">
        <v>282</v>
      </c>
      <c r="B42" s="36"/>
      <c r="C42" s="99">
        <f>IFERROR(B42/SUM($B$40:$B$44),0)</f>
        <v>0</v>
      </c>
      <c r="D42" s="100" t="str">
        <f>IFERROR(REPT("|",ROUND(C42*40,0)),"")</f>
        <v/>
      </c>
      <c r="E42" s="96"/>
    </row>
    <row r="43" spans="1:5" ht="15" customHeight="1" x14ac:dyDescent="0.45">
      <c r="A43" s="40" t="s">
        <v>283</v>
      </c>
      <c r="B43" s="36"/>
      <c r="C43" s="99">
        <f>IFERROR(B43/SUM($B$40:$B$44),0)</f>
        <v>0</v>
      </c>
      <c r="D43" s="101" t="str">
        <f>IFERROR(REPT("|",ROUND(C43*40,0)),"")</f>
        <v/>
      </c>
      <c r="E43" s="97"/>
    </row>
    <row r="44" spans="1:5" ht="15.75" customHeight="1" thickBot="1" x14ac:dyDescent="0.5">
      <c r="A44" s="58" t="s">
        <v>284</v>
      </c>
      <c r="B44" s="36"/>
      <c r="C44" s="99">
        <f>IFERROR(B44/SUM($B$40:$B$44),0)</f>
        <v>0</v>
      </c>
      <c r="D44" s="115" t="str">
        <f>IFERROR(REPT("|",ROUND(C44*40,0)),"")</f>
        <v/>
      </c>
      <c r="E44" s="114"/>
    </row>
    <row r="45" spans="1:5" ht="15" thickTop="1" thickBot="1" x14ac:dyDescent="0.5">
      <c r="A45" s="111" t="s">
        <v>285</v>
      </c>
      <c r="B45" s="110">
        <f>SUM(B40:B44)</f>
        <v>0</v>
      </c>
      <c r="C45" s="102">
        <f>SUM(C40:C44)</f>
        <v>0</v>
      </c>
      <c r="D45" s="116"/>
      <c r="E45" s="113"/>
    </row>
    <row r="46" spans="1:5" ht="14.65" thickTop="1" x14ac:dyDescent="0.45"/>
  </sheetData>
  <mergeCells count="7">
    <mergeCell ref="A17:C17"/>
    <mergeCell ref="A32:E32"/>
    <mergeCell ref="A38:E38"/>
    <mergeCell ref="A25:E25"/>
    <mergeCell ref="A1:E1"/>
    <mergeCell ref="A2:E2"/>
    <mergeCell ref="A10:E10"/>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3"/>
  <sheetViews>
    <sheetView showGridLines="0" zoomScaleNormal="100" workbookViewId="0">
      <pane ySplit="2" topLeftCell="A21" activePane="bottomLeft" state="frozen"/>
      <selection pane="bottomLeft" activeCell="B17" sqref="B17"/>
    </sheetView>
  </sheetViews>
  <sheetFormatPr defaultColWidth="8.6640625" defaultRowHeight="14.25" x14ac:dyDescent="0.45"/>
  <cols>
    <col min="1" max="1" width="40" customWidth="1"/>
    <col min="2" max="2" width="50.3984375" customWidth="1"/>
    <col min="3" max="3" width="70" customWidth="1"/>
    <col min="4" max="4" width="14" customWidth="1"/>
  </cols>
  <sheetData>
    <row r="1" spans="1:4" ht="25.5" customHeight="1" x14ac:dyDescent="0.45">
      <c r="A1" s="124" t="s">
        <v>286</v>
      </c>
      <c r="B1" s="124"/>
      <c r="C1" s="124"/>
      <c r="D1" s="124"/>
    </row>
    <row r="2" spans="1:4" ht="15" customHeight="1" thickBot="1" x14ac:dyDescent="0.5">
      <c r="A2" s="57" t="s">
        <v>45</v>
      </c>
      <c r="B2" s="57" t="s">
        <v>64</v>
      </c>
      <c r="C2" s="57" t="s">
        <v>187</v>
      </c>
      <c r="D2" s="57" t="s">
        <v>287</v>
      </c>
    </row>
    <row r="3" spans="1:4" ht="18" customHeight="1" thickTop="1" thickBot="1" x14ac:dyDescent="0.5">
      <c r="A3" s="135" t="s">
        <v>512</v>
      </c>
      <c r="B3" s="136"/>
      <c r="C3" s="136"/>
      <c r="D3" s="137"/>
    </row>
    <row r="4" spans="1:4" ht="15.75" customHeight="1" thickTop="1" x14ac:dyDescent="0.45">
      <c r="A4" s="31" t="s">
        <v>288</v>
      </c>
      <c r="B4" s="89"/>
      <c r="C4" s="90" t="s">
        <v>141</v>
      </c>
      <c r="D4" s="117" t="s">
        <v>289</v>
      </c>
    </row>
    <row r="5" spans="1:4" ht="15.75" customHeight="1" x14ac:dyDescent="0.45">
      <c r="A5" s="14" t="s">
        <v>290</v>
      </c>
      <c r="B5" s="67"/>
      <c r="C5" s="65" t="s">
        <v>513</v>
      </c>
      <c r="D5" s="94" t="s">
        <v>289</v>
      </c>
    </row>
    <row r="6" spans="1:4" ht="15.75" customHeight="1" x14ac:dyDescent="0.45">
      <c r="A6" s="14" t="s">
        <v>291</v>
      </c>
      <c r="B6" s="72"/>
      <c r="C6" s="65" t="s">
        <v>514</v>
      </c>
      <c r="D6" s="94" t="s">
        <v>289</v>
      </c>
    </row>
    <row r="7" spans="1:4" ht="15.75" customHeight="1" x14ac:dyDescent="0.45">
      <c r="A7" s="14" t="s">
        <v>292</v>
      </c>
      <c r="B7" s="98">
        <f>ROUND('Recovery Objectives'!B9,1)</f>
        <v>0.9</v>
      </c>
      <c r="C7" s="65" t="s">
        <v>293</v>
      </c>
      <c r="D7" s="94" t="s">
        <v>137</v>
      </c>
    </row>
    <row r="8" spans="1:4" ht="15.75" customHeight="1" x14ac:dyDescent="0.45">
      <c r="A8" s="14" t="s">
        <v>294</v>
      </c>
      <c r="B8" s="64">
        <f>IFERROR(B4*B7+B5+B6,0)</f>
        <v>0</v>
      </c>
      <c r="C8" s="65" t="s">
        <v>295</v>
      </c>
      <c r="D8" s="94" t="s">
        <v>289</v>
      </c>
    </row>
    <row r="9" spans="1:4" ht="15.75" customHeight="1" x14ac:dyDescent="0.45">
      <c r="A9" s="14" t="s">
        <v>296</v>
      </c>
      <c r="B9" s="88">
        <f>ROUND(Parameters!C12*365,1)</f>
        <v>8</v>
      </c>
      <c r="C9" s="65" t="s">
        <v>297</v>
      </c>
      <c r="D9" s="94" t="s">
        <v>298</v>
      </c>
    </row>
    <row r="10" spans="1:4" ht="15.75" customHeight="1" x14ac:dyDescent="0.45">
      <c r="A10" s="14" t="s">
        <v>299</v>
      </c>
      <c r="B10" s="64">
        <f>IFERROR(B8*B9,0)</f>
        <v>0</v>
      </c>
      <c r="C10" s="65" t="s">
        <v>300</v>
      </c>
      <c r="D10" s="94" t="s">
        <v>289</v>
      </c>
    </row>
    <row r="11" spans="1:4" ht="15.75" customHeight="1" x14ac:dyDescent="0.45">
      <c r="A11" s="14" t="s">
        <v>301</v>
      </c>
      <c r="B11" s="88">
        <f>IFERROR(B10*0.5,0)</f>
        <v>0</v>
      </c>
      <c r="C11" s="65" t="s">
        <v>302</v>
      </c>
      <c r="D11" s="94" t="s">
        <v>289</v>
      </c>
    </row>
    <row r="12" spans="1:4" ht="15.75" customHeight="1" x14ac:dyDescent="0.45">
      <c r="A12" s="14" t="s">
        <v>303</v>
      </c>
      <c r="B12" s="64">
        <f>IFERROR((B11-0)/1*100,0)</f>
        <v>0</v>
      </c>
      <c r="C12" s="65" t="s">
        <v>304</v>
      </c>
      <c r="D12" s="94" t="s">
        <v>305</v>
      </c>
    </row>
    <row r="13" spans="1:4" ht="14.65" thickBot="1" x14ac:dyDescent="0.5">
      <c r="A13" s="44"/>
      <c r="B13" s="44"/>
      <c r="C13" s="44"/>
      <c r="D13" s="44"/>
    </row>
    <row r="14" spans="1:4" ht="18" customHeight="1" thickTop="1" thickBot="1" x14ac:dyDescent="0.5">
      <c r="A14" s="135" t="s">
        <v>515</v>
      </c>
      <c r="B14" s="136"/>
      <c r="C14" s="136"/>
      <c r="D14" s="137"/>
    </row>
    <row r="15" spans="1:4" ht="15.75" customHeight="1" thickTop="1" x14ac:dyDescent="0.45">
      <c r="A15" s="31" t="s">
        <v>18</v>
      </c>
      <c r="B15" s="118">
        <f>'Service Overview'!B13</f>
        <v>0</v>
      </c>
      <c r="C15" s="90" t="s">
        <v>306</v>
      </c>
      <c r="D15" s="117" t="s">
        <v>305</v>
      </c>
    </row>
    <row r="16" spans="1:4" ht="15.75" customHeight="1" x14ac:dyDescent="0.45">
      <c r="A16" s="14" t="s">
        <v>307</v>
      </c>
      <c r="B16" s="88">
        <f>60*24*30</f>
        <v>43200</v>
      </c>
      <c r="C16" s="65" t="s">
        <v>308</v>
      </c>
      <c r="D16" s="94" t="s">
        <v>70</v>
      </c>
    </row>
    <row r="17" spans="1:4" ht="15.75" customHeight="1" x14ac:dyDescent="0.45">
      <c r="A17" s="14" t="s">
        <v>309</v>
      </c>
      <c r="B17" s="64">
        <f>IFERROR(B16*(1-B15/100),0)</f>
        <v>43200</v>
      </c>
      <c r="C17" s="65" t="s">
        <v>310</v>
      </c>
      <c r="D17" s="94" t="s">
        <v>70</v>
      </c>
    </row>
    <row r="18" spans="1:4" ht="15.75" customHeight="1" x14ac:dyDescent="0.45">
      <c r="A18" s="14" t="s">
        <v>311</v>
      </c>
      <c r="B18" s="98">
        <f>IFERROR(ROUND('Recovery Objectives'!B8/B17*100,1),0)</f>
        <v>0.1</v>
      </c>
      <c r="C18" s="65" t="s">
        <v>312</v>
      </c>
      <c r="D18" s="94" t="s">
        <v>305</v>
      </c>
    </row>
    <row r="19" spans="1:4" ht="15.75" customHeight="1" x14ac:dyDescent="0.45">
      <c r="A19" s="14" t="s">
        <v>313</v>
      </c>
      <c r="B19" s="119">
        <f>IFERROR(INT(B17/'Recovery Objectives'!B8),0)</f>
        <v>834</v>
      </c>
      <c r="C19" s="65" t="s">
        <v>314</v>
      </c>
      <c r="D19" s="94" t="s">
        <v>96</v>
      </c>
    </row>
    <row r="20" spans="1:4" ht="15.75" customHeight="1" x14ac:dyDescent="0.45">
      <c r="A20" s="14" t="s">
        <v>315</v>
      </c>
      <c r="B20" s="98">
        <f>IFERROR(B17-'Recovery Objectives'!B8,0)</f>
        <v>43148.25</v>
      </c>
      <c r="C20" s="65" t="s">
        <v>316</v>
      </c>
      <c r="D20" s="94" t="s">
        <v>70</v>
      </c>
    </row>
    <row r="21" spans="1:4" ht="27" customHeight="1" x14ac:dyDescent="0.45">
      <c r="A21" s="14" t="s">
        <v>317</v>
      </c>
      <c r="B21" s="64" t="str">
        <f>IF(B18&gt;50,"High - single incident consumes over 50% of monthly SLA allowance",IF(B18&gt;25,"Moderate - single incident consumes over 25% of monthly SLA allowance","Low - monthly SLA budget is adequate relative to committed RTO"))</f>
        <v>Low - monthly SLA budget is adequate relative to committed RTO</v>
      </c>
      <c r="C21" s="65" t="s">
        <v>318</v>
      </c>
      <c r="D21" s="94"/>
    </row>
    <row r="22" spans="1:4" ht="14.65" thickBot="1" x14ac:dyDescent="0.5">
      <c r="A22" s="44"/>
      <c r="B22" s="44"/>
      <c r="C22" s="44"/>
      <c r="D22" s="44"/>
    </row>
    <row r="23" spans="1:4" ht="18" customHeight="1" thickTop="1" thickBot="1" x14ac:dyDescent="0.5">
      <c r="A23" s="135" t="s">
        <v>516</v>
      </c>
      <c r="B23" s="136"/>
      <c r="C23" s="136"/>
      <c r="D23" s="137"/>
    </row>
    <row r="24" spans="1:4" ht="15.75" customHeight="1" thickTop="1" x14ac:dyDescent="0.45">
      <c r="A24" s="31" t="s">
        <v>319</v>
      </c>
      <c r="B24" s="93"/>
      <c r="C24" s="90" t="s">
        <v>141</v>
      </c>
      <c r="D24" s="117" t="s">
        <v>96</v>
      </c>
    </row>
    <row r="25" spans="1:4" ht="15.75" customHeight="1" x14ac:dyDescent="0.45">
      <c r="A25" s="14" t="s">
        <v>320</v>
      </c>
      <c r="B25" s="64" t="str">
        <f>IF(Parameters!C19=1,"Mission Critical",IF(Parameters!C19=2,"High",IF(Parameters!C19=3,"Medium","Low")))</f>
        <v>Mission Critical</v>
      </c>
      <c r="C25" s="65" t="s">
        <v>321</v>
      </c>
      <c r="D25" s="94"/>
    </row>
    <row r="26" spans="1:4" ht="15.75" customHeight="1" x14ac:dyDescent="0.45">
      <c r="A26" s="14" t="s">
        <v>322</v>
      </c>
      <c r="B26" s="67"/>
      <c r="C26" s="65" t="s">
        <v>141</v>
      </c>
      <c r="D26" s="94"/>
    </row>
    <row r="27" spans="1:4" ht="15.75" customHeight="1" x14ac:dyDescent="0.45">
      <c r="A27" s="14" t="s">
        <v>323</v>
      </c>
      <c r="B27" s="72"/>
      <c r="C27" s="65" t="s">
        <v>141</v>
      </c>
      <c r="D27" s="94"/>
    </row>
    <row r="28" spans="1:4" ht="15.75" customHeight="1" x14ac:dyDescent="0.45">
      <c r="A28" s="14" t="s">
        <v>324</v>
      </c>
      <c r="B28" s="98">
        <f>Parameters!C15</f>
        <v>3</v>
      </c>
      <c r="C28" s="65" t="s">
        <v>325</v>
      </c>
      <c r="D28" s="94" t="s">
        <v>96</v>
      </c>
    </row>
    <row r="29" spans="1:4" ht="15.75" customHeight="1" x14ac:dyDescent="0.45">
      <c r="A29" s="14" t="s">
        <v>326</v>
      </c>
      <c r="B29" s="64" t="str">
        <f>IF(Parameters!C19=1,"Critical",IF(Parameters!C19=2,"High",IF(Parameters!C19=3,"Medium","Low")))</f>
        <v>Critical</v>
      </c>
      <c r="C29" s="65" t="s">
        <v>327</v>
      </c>
      <c r="D29" s="94"/>
    </row>
    <row r="30" spans="1:4" x14ac:dyDescent="0.45">
      <c r="A30" s="44"/>
      <c r="B30" s="44"/>
      <c r="C30" s="44"/>
      <c r="D30" s="44"/>
    </row>
    <row r="31" spans="1:4" x14ac:dyDescent="0.45">
      <c r="A31" s="44"/>
      <c r="B31" s="44"/>
      <c r="C31" s="44"/>
      <c r="D31" s="44"/>
    </row>
    <row r="32" spans="1:4" x14ac:dyDescent="0.45">
      <c r="A32" s="44"/>
      <c r="B32" s="44"/>
      <c r="C32" s="44"/>
      <c r="D32" s="44"/>
    </row>
    <row r="33" spans="1:4" x14ac:dyDescent="0.45">
      <c r="A33" s="44"/>
      <c r="B33" s="44"/>
      <c r="C33" s="44"/>
      <c r="D33" s="44"/>
    </row>
    <row r="34" spans="1:4" x14ac:dyDescent="0.45">
      <c r="A34" s="44"/>
      <c r="B34" s="44"/>
      <c r="C34" s="44"/>
      <c r="D34" s="44"/>
    </row>
    <row r="35" spans="1:4" x14ac:dyDescent="0.45">
      <c r="A35" s="44"/>
      <c r="B35" s="44"/>
      <c r="C35" s="44"/>
      <c r="D35" s="44"/>
    </row>
    <row r="36" spans="1:4" x14ac:dyDescent="0.45">
      <c r="A36" s="44"/>
      <c r="B36" s="44"/>
      <c r="C36" s="44"/>
      <c r="D36" s="44"/>
    </row>
    <row r="37" spans="1:4" x14ac:dyDescent="0.45">
      <c r="A37" s="44"/>
      <c r="B37" s="44"/>
      <c r="C37" s="44"/>
      <c r="D37" s="44"/>
    </row>
    <row r="38" spans="1:4" x14ac:dyDescent="0.45">
      <c r="A38" s="44"/>
      <c r="B38" s="44"/>
      <c r="C38" s="44"/>
      <c r="D38" s="44"/>
    </row>
    <row r="39" spans="1:4" x14ac:dyDescent="0.45">
      <c r="A39" s="44"/>
      <c r="B39" s="44"/>
      <c r="C39" s="44"/>
      <c r="D39" s="44"/>
    </row>
    <row r="40" spans="1:4" x14ac:dyDescent="0.45">
      <c r="A40" s="44"/>
      <c r="B40" s="44"/>
      <c r="C40" s="44"/>
      <c r="D40" s="44"/>
    </row>
    <row r="41" spans="1:4" x14ac:dyDescent="0.45">
      <c r="A41" s="44"/>
      <c r="B41" s="44"/>
      <c r="C41" s="44"/>
      <c r="D41" s="44"/>
    </row>
    <row r="42" spans="1:4" x14ac:dyDescent="0.45">
      <c r="A42" s="44"/>
      <c r="B42" s="44"/>
      <c r="C42" s="44"/>
      <c r="D42" s="44"/>
    </row>
    <row r="43" spans="1:4" x14ac:dyDescent="0.45">
      <c r="A43" s="44"/>
      <c r="B43" s="44"/>
      <c r="C43" s="44"/>
      <c r="D43" s="44"/>
    </row>
    <row r="44" spans="1:4" x14ac:dyDescent="0.45">
      <c r="A44" s="44"/>
      <c r="B44" s="44"/>
      <c r="C44" s="44"/>
      <c r="D44" s="44"/>
    </row>
    <row r="45" spans="1:4" x14ac:dyDescent="0.45">
      <c r="A45" s="44"/>
      <c r="B45" s="44"/>
      <c r="C45" s="44"/>
      <c r="D45" s="44"/>
    </row>
    <row r="46" spans="1:4" x14ac:dyDescent="0.45">
      <c r="A46" s="44"/>
      <c r="B46" s="44"/>
      <c r="C46" s="44"/>
      <c r="D46" s="44"/>
    </row>
    <row r="47" spans="1:4" x14ac:dyDescent="0.45">
      <c r="A47" s="44"/>
      <c r="B47" s="44"/>
      <c r="C47" s="44"/>
      <c r="D47" s="44"/>
    </row>
    <row r="48" spans="1:4" x14ac:dyDescent="0.45">
      <c r="A48" s="44"/>
      <c r="B48" s="44"/>
      <c r="C48" s="44"/>
      <c r="D48" s="44"/>
    </row>
    <row r="49" spans="1:4" x14ac:dyDescent="0.45">
      <c r="A49" s="44"/>
      <c r="B49" s="44"/>
      <c r="C49" s="44"/>
      <c r="D49" s="44"/>
    </row>
    <row r="50" spans="1:4" x14ac:dyDescent="0.45">
      <c r="A50" s="44"/>
      <c r="B50" s="44"/>
      <c r="C50" s="44"/>
      <c r="D50" s="44"/>
    </row>
    <row r="51" spans="1:4" x14ac:dyDescent="0.45">
      <c r="A51" s="44"/>
      <c r="B51" s="44"/>
      <c r="C51" s="44"/>
      <c r="D51" s="44"/>
    </row>
    <row r="52" spans="1:4" x14ac:dyDescent="0.45">
      <c r="A52" s="44"/>
      <c r="B52" s="44"/>
      <c r="C52" s="44"/>
      <c r="D52" s="44"/>
    </row>
    <row r="53" spans="1:4" x14ac:dyDescent="0.45">
      <c r="A53" s="44"/>
      <c r="B53" s="44"/>
      <c r="C53" s="44"/>
      <c r="D53" s="44"/>
    </row>
  </sheetData>
  <mergeCells count="4">
    <mergeCell ref="A1:D1"/>
    <mergeCell ref="A3:D3"/>
    <mergeCell ref="A14:D14"/>
    <mergeCell ref="A23:D23"/>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7"/>
  <sheetViews>
    <sheetView showGridLines="0" zoomScale="90" zoomScaleNormal="90" workbookViewId="0">
      <pane ySplit="1" topLeftCell="A14" activePane="bottomLeft" state="frozen"/>
      <selection pane="bottomLeft" activeCell="F36" sqref="F36:G36"/>
    </sheetView>
  </sheetViews>
  <sheetFormatPr defaultColWidth="8.6640625" defaultRowHeight="14.25" x14ac:dyDescent="0.45"/>
  <cols>
    <col min="1" max="1" width="3" customWidth="1"/>
    <col min="2" max="2" width="38" customWidth="1"/>
    <col min="3" max="3" width="22" customWidth="1"/>
    <col min="4" max="4" width="14" customWidth="1"/>
    <col min="5" max="5" width="26" customWidth="1"/>
    <col min="6" max="6" width="20" customWidth="1"/>
    <col min="7" max="7" width="12" customWidth="1"/>
    <col min="8" max="8" width="14" customWidth="1"/>
    <col min="9" max="9" width="28" customWidth="1"/>
  </cols>
  <sheetData>
    <row r="1" spans="1:9" ht="25.5" customHeight="1" x14ac:dyDescent="0.45">
      <c r="A1" s="124" t="s">
        <v>328</v>
      </c>
      <c r="B1" s="124"/>
      <c r="C1" s="124"/>
      <c r="D1" s="124"/>
      <c r="E1" s="124"/>
      <c r="F1" s="124"/>
      <c r="G1" s="124"/>
      <c r="H1" s="124"/>
      <c r="I1" s="124"/>
    </row>
    <row r="2" spans="1:9" ht="12.75" customHeight="1" thickBot="1" x14ac:dyDescent="0.5">
      <c r="A2" s="125" t="s">
        <v>329</v>
      </c>
      <c r="B2" s="125"/>
      <c r="C2" s="125"/>
      <c r="D2" s="125"/>
      <c r="E2" s="125"/>
      <c r="F2" s="125"/>
      <c r="G2" s="125"/>
      <c r="H2" s="125"/>
      <c r="I2" s="125"/>
    </row>
    <row r="3" spans="1:9" ht="18" customHeight="1" thickTop="1" thickBot="1" x14ac:dyDescent="0.5">
      <c r="A3" s="144" t="s">
        <v>517</v>
      </c>
      <c r="B3" s="145"/>
      <c r="C3" s="145"/>
      <c r="D3" s="145"/>
      <c r="E3" s="145"/>
      <c r="F3" s="145"/>
      <c r="G3" s="145"/>
      <c r="H3" s="145"/>
      <c r="I3" s="146"/>
    </row>
    <row r="4" spans="1:9" ht="15" customHeight="1" thickTop="1" x14ac:dyDescent="0.45">
      <c r="A4" s="71" t="s">
        <v>330</v>
      </c>
      <c r="B4" s="71" t="s">
        <v>331</v>
      </c>
      <c r="C4" s="71" t="s">
        <v>332</v>
      </c>
      <c r="D4" s="71" t="s">
        <v>333</v>
      </c>
      <c r="E4" s="71" t="s">
        <v>334</v>
      </c>
      <c r="F4" s="71" t="s">
        <v>335</v>
      </c>
      <c r="G4" s="71" t="s">
        <v>336</v>
      </c>
      <c r="H4" s="71" t="s">
        <v>337</v>
      </c>
      <c r="I4" s="71" t="s">
        <v>68</v>
      </c>
    </row>
    <row r="5" spans="1:9" ht="15" customHeight="1" x14ac:dyDescent="0.45">
      <c r="A5" s="37">
        <v>1</v>
      </c>
      <c r="B5" s="67"/>
      <c r="C5" s="67"/>
      <c r="D5" s="36"/>
      <c r="E5" s="67"/>
      <c r="F5" s="68" t="str">
        <f t="shared" ref="F5:F10" ca="1" si="0">IF(G5=100,"Complete",IF(AND(D5&lt;&gt;"",D5&lt;TODAY()),"Overdue",IF(G5&gt;0,"In Progress","Not Started")))</f>
        <v>Not Started</v>
      </c>
      <c r="G5" s="139">
        <v>0</v>
      </c>
      <c r="H5" s="36"/>
      <c r="I5" s="67"/>
    </row>
    <row r="6" spans="1:9" ht="15" customHeight="1" x14ac:dyDescent="0.45">
      <c r="A6" s="42">
        <v>2</v>
      </c>
      <c r="B6" s="67"/>
      <c r="C6" s="67"/>
      <c r="D6" s="36"/>
      <c r="E6" s="67"/>
      <c r="F6" s="68" t="str">
        <f t="shared" ca="1" si="0"/>
        <v>Not Started</v>
      </c>
      <c r="G6" s="139">
        <v>0</v>
      </c>
      <c r="H6" s="36"/>
      <c r="I6" s="67"/>
    </row>
    <row r="7" spans="1:9" ht="15" customHeight="1" x14ac:dyDescent="0.45">
      <c r="A7" s="37">
        <v>3</v>
      </c>
      <c r="B7" s="67"/>
      <c r="C7" s="67"/>
      <c r="D7" s="36"/>
      <c r="E7" s="67"/>
      <c r="F7" s="68" t="str">
        <f t="shared" ca="1" si="0"/>
        <v>Not Started</v>
      </c>
      <c r="G7" s="139">
        <v>0</v>
      </c>
      <c r="H7" s="36"/>
      <c r="I7" s="67"/>
    </row>
    <row r="8" spans="1:9" ht="15" customHeight="1" x14ac:dyDescent="0.45">
      <c r="A8" s="42">
        <v>4</v>
      </c>
      <c r="B8" s="67"/>
      <c r="C8" s="67"/>
      <c r="D8" s="36"/>
      <c r="E8" s="67"/>
      <c r="F8" s="68" t="str">
        <f t="shared" ca="1" si="0"/>
        <v>Not Started</v>
      </c>
      <c r="G8" s="139">
        <v>0</v>
      </c>
      <c r="H8" s="36"/>
      <c r="I8" s="67"/>
    </row>
    <row r="9" spans="1:9" ht="15" customHeight="1" x14ac:dyDescent="0.45">
      <c r="A9" s="37">
        <v>5</v>
      </c>
      <c r="B9" s="67"/>
      <c r="C9" s="67"/>
      <c r="D9" s="36"/>
      <c r="E9" s="67"/>
      <c r="F9" s="68" t="str">
        <f t="shared" ca="1" si="0"/>
        <v>Not Started</v>
      </c>
      <c r="G9" s="139">
        <v>0</v>
      </c>
      <c r="H9" s="36"/>
      <c r="I9" s="67"/>
    </row>
    <row r="10" spans="1:9" ht="15" customHeight="1" x14ac:dyDescent="0.45">
      <c r="A10" s="42">
        <v>6</v>
      </c>
      <c r="B10" s="67"/>
      <c r="C10" s="67"/>
      <c r="D10" s="36"/>
      <c r="E10" s="67"/>
      <c r="F10" s="68" t="str">
        <f t="shared" ca="1" si="0"/>
        <v>Not Started</v>
      </c>
      <c r="G10" s="139">
        <v>0</v>
      </c>
      <c r="H10" s="36"/>
      <c r="I10" s="67"/>
    </row>
    <row r="11" spans="1:9" ht="14.65" thickBot="1" x14ac:dyDescent="0.5">
      <c r="A11" s="44"/>
      <c r="B11" s="44"/>
      <c r="C11" s="44"/>
      <c r="D11" s="44"/>
      <c r="E11" s="44"/>
      <c r="F11" s="44"/>
      <c r="G11" s="44"/>
      <c r="H11" s="44"/>
      <c r="I11" s="44"/>
    </row>
    <row r="12" spans="1:9" ht="18" customHeight="1" thickTop="1" thickBot="1" x14ac:dyDescent="0.5">
      <c r="A12" s="135" t="s">
        <v>518</v>
      </c>
      <c r="B12" s="136"/>
      <c r="C12" s="136"/>
      <c r="D12" s="136"/>
      <c r="E12" s="136"/>
      <c r="F12" s="136"/>
      <c r="G12" s="136"/>
      <c r="H12" s="136"/>
      <c r="I12" s="137"/>
    </row>
    <row r="13" spans="1:9" ht="15" customHeight="1" thickTop="1" x14ac:dyDescent="0.45">
      <c r="A13" s="71" t="s">
        <v>330</v>
      </c>
      <c r="B13" s="71" t="s">
        <v>331</v>
      </c>
      <c r="C13" s="71" t="s">
        <v>332</v>
      </c>
      <c r="D13" s="71" t="s">
        <v>333</v>
      </c>
      <c r="E13" s="71" t="s">
        <v>334</v>
      </c>
      <c r="F13" s="71" t="s">
        <v>335</v>
      </c>
      <c r="G13" s="71" t="s">
        <v>336</v>
      </c>
      <c r="H13" s="71" t="s">
        <v>337</v>
      </c>
      <c r="I13" s="71" t="s">
        <v>68</v>
      </c>
    </row>
    <row r="14" spans="1:9" ht="15" customHeight="1" x14ac:dyDescent="0.45">
      <c r="A14" s="37">
        <v>1</v>
      </c>
      <c r="B14" s="67"/>
      <c r="C14" s="67"/>
      <c r="D14" s="36"/>
      <c r="E14" s="67"/>
      <c r="F14" s="68" t="str">
        <f t="shared" ref="F14:F19" ca="1" si="1">IF(G14=100,"Complete",IF(AND(D14&lt;&gt;"",D14&lt;TODAY()),"Overdue",IF(G14&gt;0,"In Progress","Not Started")))</f>
        <v>Not Started</v>
      </c>
      <c r="G14" s="139">
        <v>0</v>
      </c>
      <c r="H14" s="36"/>
      <c r="I14" s="67"/>
    </row>
    <row r="15" spans="1:9" ht="15" customHeight="1" x14ac:dyDescent="0.45">
      <c r="A15" s="42">
        <v>2</v>
      </c>
      <c r="B15" s="67"/>
      <c r="C15" s="67"/>
      <c r="D15" s="36"/>
      <c r="E15" s="67"/>
      <c r="F15" s="68" t="str">
        <f t="shared" ca="1" si="1"/>
        <v>Not Started</v>
      </c>
      <c r="G15" s="139">
        <v>0</v>
      </c>
      <c r="H15" s="36"/>
      <c r="I15" s="67"/>
    </row>
    <row r="16" spans="1:9" ht="15" customHeight="1" x14ac:dyDescent="0.45">
      <c r="A16" s="37">
        <v>3</v>
      </c>
      <c r="B16" s="67"/>
      <c r="C16" s="67"/>
      <c r="D16" s="36"/>
      <c r="E16" s="67"/>
      <c r="F16" s="68" t="str">
        <f t="shared" ca="1" si="1"/>
        <v>Not Started</v>
      </c>
      <c r="G16" s="139">
        <v>0</v>
      </c>
      <c r="H16" s="36"/>
      <c r="I16" s="67"/>
    </row>
    <row r="17" spans="1:9" ht="15" customHeight="1" x14ac:dyDescent="0.45">
      <c r="A17" s="42">
        <v>4</v>
      </c>
      <c r="B17" s="67"/>
      <c r="C17" s="67"/>
      <c r="D17" s="36"/>
      <c r="E17" s="67"/>
      <c r="F17" s="68" t="str">
        <f t="shared" ca="1" si="1"/>
        <v>Not Started</v>
      </c>
      <c r="G17" s="139">
        <v>0</v>
      </c>
      <c r="H17" s="36"/>
      <c r="I17" s="67"/>
    </row>
    <row r="18" spans="1:9" ht="15" customHeight="1" x14ac:dyDescent="0.45">
      <c r="A18" s="37">
        <v>5</v>
      </c>
      <c r="B18" s="67"/>
      <c r="C18" s="67"/>
      <c r="D18" s="36"/>
      <c r="E18" s="67"/>
      <c r="F18" s="68" t="str">
        <f t="shared" ca="1" si="1"/>
        <v>Not Started</v>
      </c>
      <c r="G18" s="139">
        <v>0</v>
      </c>
      <c r="H18" s="36"/>
      <c r="I18" s="67"/>
    </row>
    <row r="19" spans="1:9" ht="15" customHeight="1" x14ac:dyDescent="0.45">
      <c r="A19" s="42">
        <v>6</v>
      </c>
      <c r="B19" s="67"/>
      <c r="C19" s="67"/>
      <c r="D19" s="36"/>
      <c r="E19" s="67"/>
      <c r="F19" s="68" t="str">
        <f t="shared" ca="1" si="1"/>
        <v>Not Started</v>
      </c>
      <c r="G19" s="139">
        <v>0</v>
      </c>
      <c r="H19" s="36"/>
      <c r="I19" s="67"/>
    </row>
    <row r="20" spans="1:9" ht="14.65" thickBot="1" x14ac:dyDescent="0.5">
      <c r="A20" s="44"/>
      <c r="B20" s="44"/>
      <c r="C20" s="44"/>
      <c r="D20" s="44"/>
      <c r="E20" s="44"/>
      <c r="F20" s="44"/>
      <c r="G20" s="44"/>
      <c r="H20" s="44"/>
      <c r="I20" s="44"/>
    </row>
    <row r="21" spans="1:9" ht="18" customHeight="1" thickTop="1" thickBot="1" x14ac:dyDescent="0.5">
      <c r="A21" s="147" t="s">
        <v>338</v>
      </c>
      <c r="B21" s="148"/>
      <c r="C21" s="148"/>
      <c r="D21" s="148"/>
      <c r="E21" s="148"/>
      <c r="F21" s="148"/>
      <c r="G21" s="148"/>
      <c r="H21" s="148"/>
      <c r="I21" s="149"/>
    </row>
    <row r="22" spans="1:9" ht="15" customHeight="1" thickTop="1" x14ac:dyDescent="0.45">
      <c r="A22" s="71" t="s">
        <v>330</v>
      </c>
      <c r="B22" s="71" t="s">
        <v>331</v>
      </c>
      <c r="C22" s="71" t="s">
        <v>332</v>
      </c>
      <c r="D22" s="71" t="s">
        <v>333</v>
      </c>
      <c r="E22" s="71" t="s">
        <v>334</v>
      </c>
      <c r="F22" s="71" t="s">
        <v>335</v>
      </c>
      <c r="G22" s="71" t="s">
        <v>336</v>
      </c>
      <c r="H22" s="71" t="s">
        <v>337</v>
      </c>
      <c r="I22" s="71" t="s">
        <v>68</v>
      </c>
    </row>
    <row r="23" spans="1:9" ht="15" customHeight="1" x14ac:dyDescent="0.45">
      <c r="A23" s="37">
        <v>1</v>
      </c>
      <c r="B23" s="67"/>
      <c r="C23" s="67"/>
      <c r="D23" s="36"/>
      <c r="E23" s="67"/>
      <c r="F23" s="68" t="str">
        <f t="shared" ref="F23:F28" ca="1" si="2">IF(G23=100,"Complete",IF(AND(D23&lt;&gt;"",D23&lt;TODAY()),"Overdue",IF(G23&gt;0,"In Progress","Not Started")))</f>
        <v>Not Started</v>
      </c>
      <c r="G23" s="139">
        <v>0</v>
      </c>
      <c r="H23" s="36"/>
      <c r="I23" s="67"/>
    </row>
    <row r="24" spans="1:9" ht="15" customHeight="1" x14ac:dyDescent="0.45">
      <c r="A24" s="42">
        <v>2</v>
      </c>
      <c r="B24" s="67"/>
      <c r="C24" s="67"/>
      <c r="D24" s="36"/>
      <c r="E24" s="67"/>
      <c r="F24" s="68" t="str">
        <f t="shared" ca="1" si="2"/>
        <v>Not Started</v>
      </c>
      <c r="G24" s="139">
        <v>0</v>
      </c>
      <c r="H24" s="36"/>
      <c r="I24" s="67"/>
    </row>
    <row r="25" spans="1:9" ht="15" customHeight="1" x14ac:dyDescent="0.45">
      <c r="A25" s="37">
        <v>3</v>
      </c>
      <c r="B25" s="67"/>
      <c r="C25" s="67"/>
      <c r="D25" s="36"/>
      <c r="E25" s="67"/>
      <c r="F25" s="68" t="str">
        <f t="shared" ca="1" si="2"/>
        <v>Not Started</v>
      </c>
      <c r="G25" s="139">
        <v>0</v>
      </c>
      <c r="H25" s="36"/>
      <c r="I25" s="67"/>
    </row>
    <row r="26" spans="1:9" ht="15" customHeight="1" x14ac:dyDescent="0.45">
      <c r="A26" s="42">
        <v>4</v>
      </c>
      <c r="B26" s="67"/>
      <c r="C26" s="67"/>
      <c r="D26" s="36"/>
      <c r="E26" s="67"/>
      <c r="F26" s="68" t="str">
        <f t="shared" ca="1" si="2"/>
        <v>Not Started</v>
      </c>
      <c r="G26" s="139">
        <v>0</v>
      </c>
      <c r="H26" s="36"/>
      <c r="I26" s="67"/>
    </row>
    <row r="27" spans="1:9" ht="15" customHeight="1" x14ac:dyDescent="0.45">
      <c r="A27" s="37">
        <v>5</v>
      </c>
      <c r="B27" s="67"/>
      <c r="C27" s="67"/>
      <c r="D27" s="36"/>
      <c r="E27" s="67"/>
      <c r="F27" s="68" t="str">
        <f t="shared" ca="1" si="2"/>
        <v>Not Started</v>
      </c>
      <c r="G27" s="139">
        <v>0</v>
      </c>
      <c r="H27" s="36"/>
      <c r="I27" s="67"/>
    </row>
    <row r="28" spans="1:9" ht="15" customHeight="1" x14ac:dyDescent="0.45">
      <c r="A28" s="42">
        <v>6</v>
      </c>
      <c r="B28" s="67"/>
      <c r="C28" s="67"/>
      <c r="D28" s="36"/>
      <c r="E28" s="67"/>
      <c r="F28" s="68" t="str">
        <f t="shared" ca="1" si="2"/>
        <v>Not Started</v>
      </c>
      <c r="G28" s="139">
        <v>0</v>
      </c>
      <c r="H28" s="36"/>
      <c r="I28" s="67"/>
    </row>
    <row r="29" spans="1:9" x14ac:dyDescent="0.45">
      <c r="A29" s="44"/>
      <c r="B29" s="44"/>
      <c r="C29" s="44"/>
      <c r="D29" s="44"/>
      <c r="E29" s="44"/>
      <c r="F29" s="44"/>
      <c r="G29" s="44"/>
      <c r="H29" s="44"/>
      <c r="I29" s="44"/>
    </row>
    <row r="30" spans="1:9" ht="14.65" thickBot="1" x14ac:dyDescent="0.5">
      <c r="A30" s="44"/>
      <c r="B30" s="44"/>
      <c r="C30" s="44"/>
      <c r="D30" s="44"/>
      <c r="E30" s="44"/>
      <c r="F30" s="44"/>
      <c r="G30" s="44"/>
      <c r="H30" s="44"/>
      <c r="I30" s="44"/>
    </row>
    <row r="31" spans="1:9" ht="18" customHeight="1" thickTop="1" thickBot="1" x14ac:dyDescent="0.5">
      <c r="A31" s="153" t="s">
        <v>339</v>
      </c>
      <c r="B31" s="154"/>
      <c r="C31" s="154"/>
      <c r="D31" s="154"/>
      <c r="E31" s="154"/>
      <c r="F31" s="154"/>
      <c r="G31" s="154"/>
      <c r="H31" s="154"/>
      <c r="I31" s="155"/>
    </row>
    <row r="32" spans="1:9" ht="15.75" customHeight="1" thickTop="1" x14ac:dyDescent="0.45">
      <c r="A32" s="150" t="s">
        <v>340</v>
      </c>
      <c r="B32" s="150"/>
      <c r="C32" s="150"/>
      <c r="D32" s="150"/>
      <c r="E32" s="150"/>
      <c r="F32" s="151">
        <f>COUNTIF(B6:B35,"&lt;&gt;")</f>
        <v>2</v>
      </c>
      <c r="G32" s="151"/>
      <c r="H32" s="152"/>
      <c r="I32" s="152"/>
    </row>
    <row r="33" spans="1:9" ht="15.75" customHeight="1" x14ac:dyDescent="0.45">
      <c r="A33" s="140" t="s">
        <v>341</v>
      </c>
      <c r="B33" s="140"/>
      <c r="C33" s="140"/>
      <c r="D33" s="140"/>
      <c r="E33" s="140"/>
      <c r="F33" s="141">
        <f ca="1">COUNTIF(F6:F31,"Complete")</f>
        <v>0</v>
      </c>
      <c r="G33" s="141"/>
      <c r="H33" s="142"/>
      <c r="I33" s="142"/>
    </row>
    <row r="34" spans="1:9" ht="15.75" customHeight="1" x14ac:dyDescent="0.45">
      <c r="A34" s="140" t="s">
        <v>342</v>
      </c>
      <c r="B34" s="140"/>
      <c r="C34" s="140"/>
      <c r="D34" s="140"/>
      <c r="E34" s="140"/>
      <c r="F34" s="141">
        <f ca="1">COUNTIF(F6:F31,"In Progress")</f>
        <v>0</v>
      </c>
      <c r="G34" s="141"/>
      <c r="H34" s="142"/>
      <c r="I34" s="142"/>
    </row>
    <row r="35" spans="1:9" ht="15.75" customHeight="1" x14ac:dyDescent="0.45">
      <c r="A35" s="140" t="s">
        <v>343</v>
      </c>
      <c r="B35" s="140"/>
      <c r="C35" s="140"/>
      <c r="D35" s="140"/>
      <c r="E35" s="140"/>
      <c r="F35" s="141">
        <f ca="1">COUNTIF(F6:F31,"Overdue")</f>
        <v>0</v>
      </c>
      <c r="G35" s="141"/>
      <c r="H35" s="142"/>
      <c r="I35" s="142"/>
    </row>
    <row r="36" spans="1:9" ht="15.75" customHeight="1" x14ac:dyDescent="0.45">
      <c r="A36" s="140" t="s">
        <v>344</v>
      </c>
      <c r="B36" s="140"/>
      <c r="C36" s="140"/>
      <c r="D36" s="140"/>
      <c r="E36" s="140"/>
      <c r="F36" s="143">
        <f>IFERROR(AVERAGEIF(B6:B35,"&lt;&gt;",G6:G35),0)</f>
        <v>0</v>
      </c>
      <c r="G36" s="143"/>
      <c r="H36" s="142" t="s">
        <v>345</v>
      </c>
      <c r="I36" s="142"/>
    </row>
    <row r="37" spans="1:9" ht="15.75" customHeight="1" x14ac:dyDescent="0.45">
      <c r="A37" s="140" t="s">
        <v>346</v>
      </c>
      <c r="B37" s="140"/>
      <c r="C37" s="140"/>
      <c r="D37" s="140"/>
      <c r="E37" s="140"/>
      <c r="F37" s="141">
        <f>COUNTIFS(H6:H35,"P1 - Critical",F6:F35,"&lt;&gt;Complete")</f>
        <v>0</v>
      </c>
      <c r="G37" s="141"/>
      <c r="H37" s="142"/>
      <c r="I37" s="142"/>
    </row>
  </sheetData>
  <mergeCells count="24">
    <mergeCell ref="A1:I1"/>
    <mergeCell ref="A2:I2"/>
    <mergeCell ref="A3:I3"/>
    <mergeCell ref="A12:I12"/>
    <mergeCell ref="A21:I21"/>
    <mergeCell ref="A31:I31"/>
    <mergeCell ref="A32:E32"/>
    <mergeCell ref="F32:G32"/>
    <mergeCell ref="H32:I32"/>
    <mergeCell ref="A33:E33"/>
    <mergeCell ref="F33:G33"/>
    <mergeCell ref="H33:I33"/>
    <mergeCell ref="A34:E34"/>
    <mergeCell ref="F34:G34"/>
    <mergeCell ref="H34:I34"/>
    <mergeCell ref="A35:E35"/>
    <mergeCell ref="F35:G35"/>
    <mergeCell ref="H35:I35"/>
    <mergeCell ref="A36:E36"/>
    <mergeCell ref="F36:G36"/>
    <mergeCell ref="H36:I36"/>
    <mergeCell ref="A37:E37"/>
    <mergeCell ref="F37:G37"/>
    <mergeCell ref="H37:I37"/>
  </mergeCells>
  <dataValidations count="1">
    <dataValidation type="list" allowBlank="1" showErrorMessage="1" promptTitle="Select" sqref="H5:H10 H23:H28 H14:H19" xr:uid="{00000000-0002-0000-0600-000000000000}">
      <formula1>"P1 - Critical,P2 - High,P3 - Medium,P4 - Low"</formula1>
      <formula2>0</formula2>
    </dataValidation>
  </dataValidation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7"/>
  <sheetViews>
    <sheetView showGridLines="0" zoomScaleNormal="100" workbookViewId="0">
      <pane ySplit="1" topLeftCell="A2" activePane="bottomLeft" state="frozen"/>
      <selection pane="bottomLeft" activeCell="C50" sqref="C50"/>
    </sheetView>
  </sheetViews>
  <sheetFormatPr defaultColWidth="8.6640625" defaultRowHeight="14.25" x14ac:dyDescent="0.45"/>
  <cols>
    <col min="1" max="1" width="26" customWidth="1"/>
    <col min="2" max="2" width="42" customWidth="1"/>
    <col min="3" max="3" width="40" customWidth="1"/>
    <col min="4" max="4" width="36" customWidth="1"/>
  </cols>
  <sheetData>
    <row r="1" spans="1:5" ht="25.5" customHeight="1" thickBot="1" x14ac:dyDescent="0.5">
      <c r="A1" s="124" t="s">
        <v>347</v>
      </c>
      <c r="B1" s="124"/>
      <c r="C1" s="124"/>
      <c r="D1" s="44"/>
      <c r="E1" s="44"/>
    </row>
    <row r="2" spans="1:5" ht="18" customHeight="1" thickTop="1" thickBot="1" x14ac:dyDescent="0.5">
      <c r="A2" s="135" t="s">
        <v>519</v>
      </c>
      <c r="B2" s="136"/>
      <c r="C2" s="137"/>
      <c r="D2" s="44"/>
      <c r="E2" s="44"/>
    </row>
    <row r="3" spans="1:5" ht="15" customHeight="1" thickTop="1" x14ac:dyDescent="0.45">
      <c r="A3" s="71" t="s">
        <v>348</v>
      </c>
      <c r="B3" s="71" t="s">
        <v>349</v>
      </c>
      <c r="C3" s="71" t="s">
        <v>350</v>
      </c>
      <c r="D3" s="44"/>
      <c r="E3" s="44"/>
    </row>
    <row r="4" spans="1:5" ht="27.75" customHeight="1" x14ac:dyDescent="0.45">
      <c r="A4" s="34" t="s">
        <v>351</v>
      </c>
      <c r="B4" s="34" t="s">
        <v>520</v>
      </c>
      <c r="C4" s="34" t="s">
        <v>352</v>
      </c>
      <c r="D4" s="44"/>
      <c r="E4" s="44"/>
    </row>
    <row r="5" spans="1:5" ht="27.75" customHeight="1" x14ac:dyDescent="0.45">
      <c r="A5" s="40" t="s">
        <v>353</v>
      </c>
      <c r="B5" s="40" t="s">
        <v>521</v>
      </c>
      <c r="C5" s="40" t="s">
        <v>354</v>
      </c>
      <c r="D5" s="44"/>
      <c r="E5" s="44"/>
    </row>
    <row r="6" spans="1:5" ht="27.75" customHeight="1" x14ac:dyDescent="0.45">
      <c r="A6" s="34" t="s">
        <v>355</v>
      </c>
      <c r="B6" s="34" t="s">
        <v>522</v>
      </c>
      <c r="C6" s="34" t="s">
        <v>356</v>
      </c>
      <c r="D6" s="44"/>
      <c r="E6" s="44"/>
    </row>
    <row r="7" spans="1:5" ht="27.75" customHeight="1" x14ac:dyDescent="0.45">
      <c r="A7" s="40" t="s">
        <v>357</v>
      </c>
      <c r="B7" s="40" t="s">
        <v>523</v>
      </c>
      <c r="C7" s="40" t="s">
        <v>358</v>
      </c>
      <c r="D7" s="44"/>
      <c r="E7" s="44"/>
    </row>
    <row r="8" spans="1:5" ht="27.75" customHeight="1" x14ac:dyDescent="0.45">
      <c r="A8" s="34" t="s">
        <v>359</v>
      </c>
      <c r="B8" s="34" t="s">
        <v>524</v>
      </c>
      <c r="C8" s="34" t="s">
        <v>360</v>
      </c>
      <c r="D8" s="44"/>
      <c r="E8" s="44"/>
    </row>
    <row r="9" spans="1:5" ht="27.75" customHeight="1" x14ac:dyDescent="0.45">
      <c r="A9" s="40" t="s">
        <v>361</v>
      </c>
      <c r="B9" s="40" t="s">
        <v>525</v>
      </c>
      <c r="C9" s="40" t="s">
        <v>362</v>
      </c>
      <c r="D9" s="44"/>
      <c r="E9" s="44"/>
    </row>
    <row r="10" spans="1:5" ht="27.75" customHeight="1" x14ac:dyDescent="0.45">
      <c r="A10" s="34" t="s">
        <v>363</v>
      </c>
      <c r="B10" s="34" t="s">
        <v>526</v>
      </c>
      <c r="C10" s="34" t="s">
        <v>364</v>
      </c>
      <c r="D10" s="44"/>
      <c r="E10" s="44"/>
    </row>
    <row r="11" spans="1:5" ht="27.75" customHeight="1" x14ac:dyDescent="0.45">
      <c r="A11" s="40" t="s">
        <v>365</v>
      </c>
      <c r="B11" s="40" t="s">
        <v>527</v>
      </c>
      <c r="C11" s="40" t="s">
        <v>366</v>
      </c>
      <c r="D11" s="44"/>
      <c r="E11" s="44"/>
    </row>
    <row r="12" spans="1:5" ht="27.75" customHeight="1" x14ac:dyDescent="0.45">
      <c r="A12" s="34" t="s">
        <v>367</v>
      </c>
      <c r="B12" s="34" t="s">
        <v>368</v>
      </c>
      <c r="C12" s="34" t="s">
        <v>369</v>
      </c>
      <c r="D12" s="44"/>
      <c r="E12" s="44"/>
    </row>
    <row r="13" spans="1:5" ht="27.75" customHeight="1" x14ac:dyDescent="0.45">
      <c r="A13" s="40" t="s">
        <v>370</v>
      </c>
      <c r="B13" s="40" t="s">
        <v>528</v>
      </c>
      <c r="C13" s="40" t="s">
        <v>371</v>
      </c>
      <c r="D13" s="44"/>
      <c r="E13" s="44"/>
    </row>
    <row r="14" spans="1:5" x14ac:dyDescent="0.45">
      <c r="A14" s="44"/>
      <c r="B14" s="44"/>
      <c r="C14" s="44"/>
      <c r="D14" s="44"/>
      <c r="E14" s="44"/>
    </row>
    <row r="15" spans="1:5" ht="14.65" thickBot="1" x14ac:dyDescent="0.5">
      <c r="A15" s="44"/>
      <c r="B15" s="44"/>
      <c r="C15" s="44"/>
      <c r="D15" s="44"/>
      <c r="E15" s="44"/>
    </row>
    <row r="16" spans="1:5" ht="18" customHeight="1" thickTop="1" thickBot="1" x14ac:dyDescent="0.5">
      <c r="A16" s="135" t="s">
        <v>529</v>
      </c>
      <c r="B16" s="136"/>
      <c r="C16" s="136"/>
      <c r="D16" s="137"/>
      <c r="E16" s="44"/>
    </row>
    <row r="17" spans="1:5" ht="15" customHeight="1" thickTop="1" x14ac:dyDescent="0.45">
      <c r="A17" s="71" t="s">
        <v>372</v>
      </c>
      <c r="B17" s="71" t="s">
        <v>373</v>
      </c>
      <c r="C17" s="71" t="s">
        <v>374</v>
      </c>
      <c r="D17" s="71" t="s">
        <v>375</v>
      </c>
      <c r="E17" s="44"/>
    </row>
    <row r="18" spans="1:5" ht="27.75" customHeight="1" x14ac:dyDescent="0.45">
      <c r="A18" s="34" t="s">
        <v>376</v>
      </c>
      <c r="B18" s="34" t="s">
        <v>531</v>
      </c>
      <c r="C18" s="34" t="s">
        <v>377</v>
      </c>
      <c r="D18" s="34" t="s">
        <v>378</v>
      </c>
      <c r="E18" s="44"/>
    </row>
    <row r="19" spans="1:5" ht="27.75" customHeight="1" x14ac:dyDescent="0.45">
      <c r="A19" s="40" t="s">
        <v>379</v>
      </c>
      <c r="B19" s="40" t="s">
        <v>532</v>
      </c>
      <c r="C19" s="40" t="s">
        <v>380</v>
      </c>
      <c r="D19" s="40" t="s">
        <v>381</v>
      </c>
      <c r="E19" s="44"/>
    </row>
    <row r="20" spans="1:5" ht="27.75" customHeight="1" x14ac:dyDescent="0.45">
      <c r="A20" s="34" t="s">
        <v>382</v>
      </c>
      <c r="B20" s="34" t="s">
        <v>533</v>
      </c>
      <c r="C20" s="34" t="s">
        <v>383</v>
      </c>
      <c r="D20" s="34" t="s">
        <v>384</v>
      </c>
      <c r="E20" s="44"/>
    </row>
    <row r="21" spans="1:5" ht="27.75" customHeight="1" x14ac:dyDescent="0.45">
      <c r="A21" s="40" t="s">
        <v>385</v>
      </c>
      <c r="B21" s="40" t="s">
        <v>386</v>
      </c>
      <c r="C21" s="40" t="s">
        <v>387</v>
      </c>
      <c r="D21" s="40" t="s">
        <v>388</v>
      </c>
      <c r="E21" s="44"/>
    </row>
    <row r="22" spans="1:5" x14ac:dyDescent="0.45">
      <c r="A22" s="44"/>
      <c r="B22" s="44"/>
      <c r="C22" s="44"/>
      <c r="D22" s="44"/>
      <c r="E22" s="44"/>
    </row>
    <row r="23" spans="1:5" ht="14.65" thickBot="1" x14ac:dyDescent="0.5">
      <c r="A23" s="44"/>
      <c r="B23" s="44"/>
      <c r="C23" s="44"/>
      <c r="D23" s="44"/>
      <c r="E23" s="44"/>
    </row>
    <row r="24" spans="1:5" ht="18" customHeight="1" thickTop="1" thickBot="1" x14ac:dyDescent="0.5">
      <c r="A24" s="135" t="s">
        <v>530</v>
      </c>
      <c r="B24" s="136"/>
      <c r="C24" s="136"/>
      <c r="D24" s="137"/>
      <c r="E24" s="44"/>
    </row>
    <row r="25" spans="1:5" ht="15" customHeight="1" thickTop="1" x14ac:dyDescent="0.45">
      <c r="A25" s="71" t="s">
        <v>372</v>
      </c>
      <c r="B25" s="71" t="s">
        <v>373</v>
      </c>
      <c r="C25" s="71" t="s">
        <v>374</v>
      </c>
      <c r="D25" s="71" t="s">
        <v>375</v>
      </c>
      <c r="E25" s="44"/>
    </row>
    <row r="26" spans="1:5" ht="27.75" customHeight="1" x14ac:dyDescent="0.45">
      <c r="A26" s="34" t="s">
        <v>376</v>
      </c>
      <c r="B26" s="34" t="s">
        <v>535</v>
      </c>
      <c r="C26" s="34" t="s">
        <v>389</v>
      </c>
      <c r="D26" s="34" t="s">
        <v>390</v>
      </c>
      <c r="E26" s="44"/>
    </row>
    <row r="27" spans="1:5" ht="27.75" customHeight="1" x14ac:dyDescent="0.45">
      <c r="A27" s="40" t="s">
        <v>379</v>
      </c>
      <c r="B27" s="40" t="s">
        <v>536</v>
      </c>
      <c r="C27" s="40" t="s">
        <v>391</v>
      </c>
      <c r="D27" s="40" t="s">
        <v>392</v>
      </c>
      <c r="E27" s="44"/>
    </row>
    <row r="28" spans="1:5" ht="27.75" customHeight="1" x14ac:dyDescent="0.45">
      <c r="A28" s="34" t="s">
        <v>382</v>
      </c>
      <c r="B28" s="34" t="s">
        <v>537</v>
      </c>
      <c r="C28" s="34" t="s">
        <v>393</v>
      </c>
      <c r="D28" s="34" t="s">
        <v>394</v>
      </c>
      <c r="E28" s="44"/>
    </row>
    <row r="29" spans="1:5" ht="27.75" customHeight="1" x14ac:dyDescent="0.45">
      <c r="A29" s="40" t="s">
        <v>385</v>
      </c>
      <c r="B29" s="40" t="s">
        <v>395</v>
      </c>
      <c r="C29" s="40" t="s">
        <v>396</v>
      </c>
      <c r="D29" s="40" t="s">
        <v>397</v>
      </c>
      <c r="E29" s="44"/>
    </row>
    <row r="30" spans="1:5" x14ac:dyDescent="0.45">
      <c r="A30" s="44"/>
      <c r="B30" s="44"/>
      <c r="C30" s="44"/>
      <c r="D30" s="44"/>
      <c r="E30" s="44"/>
    </row>
    <row r="31" spans="1:5" ht="14.65" thickBot="1" x14ac:dyDescent="0.5">
      <c r="A31" s="44"/>
      <c r="B31" s="44"/>
      <c r="C31" s="44"/>
      <c r="D31" s="44"/>
      <c r="E31" s="44"/>
    </row>
    <row r="32" spans="1:5" ht="18" customHeight="1" thickTop="1" thickBot="1" x14ac:dyDescent="0.5">
      <c r="A32" s="135" t="s">
        <v>534</v>
      </c>
      <c r="B32" s="136"/>
      <c r="C32" s="136"/>
      <c r="D32" s="137"/>
      <c r="E32" s="44"/>
    </row>
    <row r="33" spans="1:5" ht="15" customHeight="1" thickTop="1" x14ac:dyDescent="0.45">
      <c r="A33" s="71" t="s">
        <v>398</v>
      </c>
      <c r="B33" s="71" t="s">
        <v>399</v>
      </c>
      <c r="C33" s="71" t="s">
        <v>400</v>
      </c>
      <c r="D33" s="71" t="s">
        <v>401</v>
      </c>
      <c r="E33" s="44"/>
    </row>
    <row r="34" spans="1:5" ht="27.75" customHeight="1" x14ac:dyDescent="0.45">
      <c r="A34" s="34" t="s">
        <v>402</v>
      </c>
      <c r="B34" s="34" t="s">
        <v>403</v>
      </c>
      <c r="C34" s="34" t="s">
        <v>403</v>
      </c>
      <c r="D34" s="34" t="s">
        <v>404</v>
      </c>
      <c r="E34" s="44"/>
    </row>
    <row r="35" spans="1:5" ht="27.75" customHeight="1" x14ac:dyDescent="0.45">
      <c r="A35" s="40" t="s">
        <v>538</v>
      </c>
      <c r="B35" s="40" t="s">
        <v>155</v>
      </c>
      <c r="C35" s="40" t="s">
        <v>155</v>
      </c>
      <c r="D35" s="40" t="s">
        <v>405</v>
      </c>
      <c r="E35" s="44"/>
    </row>
    <row r="36" spans="1:5" ht="27.75" customHeight="1" x14ac:dyDescent="0.45">
      <c r="A36" s="34" t="s">
        <v>539</v>
      </c>
      <c r="B36" s="34" t="s">
        <v>406</v>
      </c>
      <c r="C36" s="34" t="s">
        <v>406</v>
      </c>
      <c r="D36" s="34" t="s">
        <v>407</v>
      </c>
      <c r="E36" s="44"/>
    </row>
    <row r="37" spans="1:5" ht="27.75" customHeight="1" x14ac:dyDescent="0.45">
      <c r="A37" s="40" t="s">
        <v>408</v>
      </c>
      <c r="B37" s="40" t="s">
        <v>409</v>
      </c>
      <c r="C37" s="40" t="s">
        <v>409</v>
      </c>
      <c r="D37" s="40" t="s">
        <v>410</v>
      </c>
      <c r="E37" s="44"/>
    </row>
  </sheetData>
  <mergeCells count="5">
    <mergeCell ref="A2:C2"/>
    <mergeCell ref="A16:D16"/>
    <mergeCell ref="A24:D24"/>
    <mergeCell ref="A32:D32"/>
    <mergeCell ref="A1:C1"/>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1"/>
  <sheetViews>
    <sheetView showGridLines="0" tabSelected="1" zoomScaleNormal="100" workbookViewId="0">
      <pane ySplit="1" topLeftCell="A8" activePane="bottomLeft" state="frozen"/>
      <selection pane="bottomLeft" activeCell="C8" sqref="C8"/>
    </sheetView>
  </sheetViews>
  <sheetFormatPr defaultColWidth="8.6640625" defaultRowHeight="14.25" x14ac:dyDescent="0.45"/>
  <cols>
    <col min="1" max="1" width="30" customWidth="1"/>
    <col min="2" max="2" width="44" customWidth="1"/>
    <col min="3" max="3" width="53.53125" customWidth="1"/>
    <col min="4" max="4" width="41.86328125" customWidth="1"/>
  </cols>
  <sheetData>
    <row r="1" spans="1:4" ht="25.5" customHeight="1" x14ac:dyDescent="0.45">
      <c r="A1" s="163" t="s">
        <v>549</v>
      </c>
      <c r="B1" s="156"/>
      <c r="C1" s="156"/>
      <c r="D1" s="156"/>
    </row>
    <row r="2" spans="1:4" ht="13.15" customHeight="1" thickBot="1" x14ac:dyDescent="0.5">
      <c r="A2" s="138" t="s">
        <v>411</v>
      </c>
      <c r="B2" s="138"/>
      <c r="C2" s="138"/>
      <c r="D2" s="138"/>
    </row>
    <row r="3" spans="1:4" ht="18" customHeight="1" thickTop="1" thickBot="1" x14ac:dyDescent="0.5">
      <c r="A3" s="157" t="s">
        <v>540</v>
      </c>
      <c r="B3" s="158"/>
      <c r="C3" s="158"/>
      <c r="D3" s="159"/>
    </row>
    <row r="4" spans="1:4" ht="15" customHeight="1" thickTop="1" x14ac:dyDescent="0.45">
      <c r="A4" s="30" t="s">
        <v>412</v>
      </c>
      <c r="B4" s="30" t="s">
        <v>413</v>
      </c>
      <c r="C4" s="30" t="s">
        <v>414</v>
      </c>
      <c r="D4" s="30" t="s">
        <v>415</v>
      </c>
    </row>
    <row r="5" spans="1:4" ht="36" customHeight="1" x14ac:dyDescent="0.45">
      <c r="A5" s="10" t="s">
        <v>370</v>
      </c>
      <c r="B5" s="1" t="s">
        <v>416</v>
      </c>
      <c r="C5" s="8" t="s">
        <v>417</v>
      </c>
      <c r="D5" s="11" t="s">
        <v>418</v>
      </c>
    </row>
    <row r="6" spans="1:4" ht="36" customHeight="1" x14ac:dyDescent="0.45">
      <c r="A6" s="10" t="s">
        <v>126</v>
      </c>
      <c r="B6" s="1" t="s">
        <v>419</v>
      </c>
      <c r="C6" s="160" t="s">
        <v>541</v>
      </c>
      <c r="D6" s="12" t="s">
        <v>420</v>
      </c>
    </row>
    <row r="7" spans="1:4" ht="54.4" customHeight="1" x14ac:dyDescent="0.45">
      <c r="A7" s="161" t="s">
        <v>489</v>
      </c>
      <c r="B7" s="1" t="s">
        <v>421</v>
      </c>
      <c r="C7" s="13" t="s">
        <v>422</v>
      </c>
      <c r="D7" s="11" t="s">
        <v>423</v>
      </c>
    </row>
    <row r="8" spans="1:4" ht="36" customHeight="1" x14ac:dyDescent="0.45">
      <c r="A8" s="161" t="s">
        <v>490</v>
      </c>
      <c r="B8" s="1" t="s">
        <v>424</v>
      </c>
      <c r="C8" s="9" t="s">
        <v>425</v>
      </c>
      <c r="D8" s="12" t="s">
        <v>426</v>
      </c>
    </row>
    <row r="9" spans="1:4" ht="51.75" customHeight="1" x14ac:dyDescent="0.45">
      <c r="A9" s="10" t="s">
        <v>133</v>
      </c>
      <c r="B9" s="1" t="s">
        <v>427</v>
      </c>
      <c r="C9" s="13" t="s">
        <v>542</v>
      </c>
      <c r="D9" s="11" t="s">
        <v>428</v>
      </c>
    </row>
    <row r="11" spans="1:4" ht="14.65" thickBot="1" x14ac:dyDescent="0.5"/>
    <row r="12" spans="1:4" ht="18" customHeight="1" thickTop="1" thickBot="1" x14ac:dyDescent="0.5">
      <c r="A12" s="157" t="s">
        <v>543</v>
      </c>
      <c r="B12" s="158"/>
      <c r="C12" s="158"/>
      <c r="D12" s="159"/>
    </row>
    <row r="13" spans="1:4" ht="15" customHeight="1" thickTop="1" x14ac:dyDescent="0.45">
      <c r="A13" s="30" t="s">
        <v>412</v>
      </c>
      <c r="B13" s="30" t="s">
        <v>413</v>
      </c>
      <c r="C13" s="30" t="s">
        <v>414</v>
      </c>
      <c r="D13" s="30" t="s">
        <v>415</v>
      </c>
    </row>
    <row r="14" spans="1:4" ht="36" customHeight="1" x14ac:dyDescent="0.45">
      <c r="A14" s="10" t="s">
        <v>160</v>
      </c>
      <c r="B14" s="1" t="s">
        <v>429</v>
      </c>
      <c r="C14" s="8" t="s">
        <v>430</v>
      </c>
      <c r="D14" s="11" t="s">
        <v>431</v>
      </c>
    </row>
    <row r="15" spans="1:4" ht="36" customHeight="1" x14ac:dyDescent="0.45">
      <c r="A15" s="161" t="s">
        <v>491</v>
      </c>
      <c r="B15" s="1" t="s">
        <v>432</v>
      </c>
      <c r="C15" s="9" t="s">
        <v>433</v>
      </c>
      <c r="D15" s="12" t="s">
        <v>434</v>
      </c>
    </row>
    <row r="16" spans="1:4" ht="36" customHeight="1" x14ac:dyDescent="0.45">
      <c r="A16" s="161" t="s">
        <v>492</v>
      </c>
      <c r="B16" s="1" t="s">
        <v>435</v>
      </c>
      <c r="C16" s="8" t="s">
        <v>436</v>
      </c>
      <c r="D16" s="11" t="s">
        <v>437</v>
      </c>
    </row>
    <row r="17" spans="1:4" ht="36" customHeight="1" x14ac:dyDescent="0.45">
      <c r="A17" s="10" t="s">
        <v>167</v>
      </c>
      <c r="B17" s="1" t="s">
        <v>438</v>
      </c>
      <c r="C17" s="9" t="s">
        <v>439</v>
      </c>
      <c r="D17" s="12" t="s">
        <v>440</v>
      </c>
    </row>
    <row r="19" spans="1:4" ht="14.65" thickBot="1" x14ac:dyDescent="0.5"/>
    <row r="20" spans="1:4" ht="18" customHeight="1" thickTop="1" thickBot="1" x14ac:dyDescent="0.5">
      <c r="A20" s="157" t="s">
        <v>544</v>
      </c>
      <c r="B20" s="158"/>
      <c r="C20" s="158"/>
      <c r="D20" s="159"/>
    </row>
    <row r="21" spans="1:4" ht="15" customHeight="1" thickTop="1" x14ac:dyDescent="0.45">
      <c r="A21" s="30" t="s">
        <v>412</v>
      </c>
      <c r="B21" s="30" t="s">
        <v>413</v>
      </c>
      <c r="C21" s="30" t="s">
        <v>414</v>
      </c>
      <c r="D21" s="30" t="s">
        <v>415</v>
      </c>
    </row>
    <row r="22" spans="1:4" ht="47.65" customHeight="1" x14ac:dyDescent="0.45">
      <c r="A22" s="10" t="s">
        <v>229</v>
      </c>
      <c r="B22" s="1" t="s">
        <v>230</v>
      </c>
      <c r="C22" s="8" t="s">
        <v>441</v>
      </c>
      <c r="D22" s="11" t="s">
        <v>442</v>
      </c>
    </row>
    <row r="23" spans="1:4" ht="36" customHeight="1" x14ac:dyDescent="0.45">
      <c r="A23" s="10" t="s">
        <v>443</v>
      </c>
      <c r="B23" s="1" t="s">
        <v>233</v>
      </c>
      <c r="C23" s="9" t="s">
        <v>444</v>
      </c>
      <c r="D23" s="12" t="s">
        <v>445</v>
      </c>
    </row>
    <row r="24" spans="1:4" ht="36" customHeight="1" x14ac:dyDescent="0.45">
      <c r="A24" s="10" t="s">
        <v>446</v>
      </c>
      <c r="B24" s="1" t="s">
        <v>237</v>
      </c>
      <c r="C24" s="8" t="s">
        <v>447</v>
      </c>
      <c r="D24" s="11" t="s">
        <v>448</v>
      </c>
    </row>
    <row r="25" spans="1:4" ht="36" customHeight="1" x14ac:dyDescent="0.45">
      <c r="A25" s="10" t="s">
        <v>449</v>
      </c>
      <c r="B25" s="1" t="s">
        <v>240</v>
      </c>
      <c r="C25" s="9" t="s">
        <v>450</v>
      </c>
      <c r="D25" s="12" t="s">
        <v>451</v>
      </c>
    </row>
    <row r="27" spans="1:4" ht="14.65" thickBot="1" x14ac:dyDescent="0.5"/>
    <row r="28" spans="1:4" ht="18" customHeight="1" thickTop="1" thickBot="1" x14ac:dyDescent="0.5">
      <c r="A28" s="157" t="s">
        <v>545</v>
      </c>
      <c r="B28" s="158"/>
      <c r="C28" s="158"/>
      <c r="D28" s="159"/>
    </row>
    <row r="29" spans="1:4" ht="15" customHeight="1" thickTop="1" x14ac:dyDescent="0.45">
      <c r="A29" s="30" t="s">
        <v>412</v>
      </c>
      <c r="B29" s="30" t="s">
        <v>413</v>
      </c>
      <c r="C29" s="30" t="s">
        <v>414</v>
      </c>
      <c r="D29" s="30" t="s">
        <v>415</v>
      </c>
    </row>
    <row r="30" spans="1:4" ht="36" customHeight="1" x14ac:dyDescent="0.45">
      <c r="A30" s="10" t="s">
        <v>262</v>
      </c>
      <c r="B30" s="1" t="s">
        <v>263</v>
      </c>
      <c r="C30" s="13" t="s">
        <v>548</v>
      </c>
      <c r="D30" s="11" t="s">
        <v>452</v>
      </c>
    </row>
    <row r="31" spans="1:4" ht="36" customHeight="1" x14ac:dyDescent="0.45">
      <c r="A31" s="10" t="s">
        <v>453</v>
      </c>
      <c r="B31" s="1" t="s">
        <v>267</v>
      </c>
      <c r="C31" s="9" t="s">
        <v>454</v>
      </c>
      <c r="D31" s="12" t="s">
        <v>455</v>
      </c>
    </row>
    <row r="32" spans="1:4" ht="36" customHeight="1" x14ac:dyDescent="0.45">
      <c r="A32" s="10" t="s">
        <v>456</v>
      </c>
      <c r="B32" s="1" t="s">
        <v>270</v>
      </c>
      <c r="C32" s="8" t="s">
        <v>457</v>
      </c>
      <c r="D32" s="11" t="s">
        <v>458</v>
      </c>
    </row>
    <row r="33" spans="1:4" ht="36" customHeight="1" x14ac:dyDescent="0.45">
      <c r="A33" s="10" t="s">
        <v>459</v>
      </c>
      <c r="B33" s="1" t="s">
        <v>273</v>
      </c>
      <c r="C33" s="9" t="s">
        <v>460</v>
      </c>
      <c r="D33" s="12" t="s">
        <v>461</v>
      </c>
    </row>
    <row r="35" spans="1:4" ht="14.65" thickBot="1" x14ac:dyDescent="0.5"/>
    <row r="36" spans="1:4" ht="18" customHeight="1" thickTop="1" thickBot="1" x14ac:dyDescent="0.5">
      <c r="A36" s="157" t="s">
        <v>547</v>
      </c>
      <c r="B36" s="158"/>
      <c r="C36" s="158"/>
      <c r="D36" s="159"/>
    </row>
    <row r="37" spans="1:4" ht="15" customHeight="1" thickTop="1" x14ac:dyDescent="0.45">
      <c r="A37" s="30" t="s">
        <v>412</v>
      </c>
      <c r="B37" s="30" t="s">
        <v>413</v>
      </c>
      <c r="C37" s="30" t="s">
        <v>414</v>
      </c>
      <c r="D37" s="30" t="s">
        <v>415</v>
      </c>
    </row>
    <row r="38" spans="1:4" ht="36" customHeight="1" x14ac:dyDescent="0.45">
      <c r="A38" s="10" t="s">
        <v>462</v>
      </c>
      <c r="B38" s="1" t="s">
        <v>295</v>
      </c>
      <c r="C38" s="8" t="s">
        <v>463</v>
      </c>
      <c r="D38" s="11" t="s">
        <v>464</v>
      </c>
    </row>
    <row r="39" spans="1:4" ht="36" customHeight="1" x14ac:dyDescent="0.45">
      <c r="A39" s="10" t="s">
        <v>465</v>
      </c>
      <c r="B39" s="1" t="s">
        <v>310</v>
      </c>
      <c r="C39" s="9" t="s">
        <v>466</v>
      </c>
      <c r="D39" s="12" t="s">
        <v>467</v>
      </c>
    </row>
    <row r="40" spans="1:4" ht="36" customHeight="1" x14ac:dyDescent="0.45">
      <c r="A40" s="10" t="s">
        <v>468</v>
      </c>
      <c r="B40" s="1" t="s">
        <v>312</v>
      </c>
      <c r="C40" s="8" t="s">
        <v>469</v>
      </c>
      <c r="D40" s="162" t="s">
        <v>546</v>
      </c>
    </row>
    <row r="41" spans="1:4" ht="36" customHeight="1" x14ac:dyDescent="0.45">
      <c r="A41" s="10" t="s">
        <v>470</v>
      </c>
      <c r="B41" s="1" t="s">
        <v>471</v>
      </c>
      <c r="C41" s="9" t="s">
        <v>472</v>
      </c>
      <c r="D41" s="12" t="s">
        <v>473</v>
      </c>
    </row>
  </sheetData>
  <mergeCells count="7">
    <mergeCell ref="A28:D28"/>
    <mergeCell ref="A36:D36"/>
    <mergeCell ref="A1:D1"/>
    <mergeCell ref="A2:D2"/>
    <mergeCell ref="A3:D3"/>
    <mergeCell ref="A12:D12"/>
    <mergeCell ref="A20:D20"/>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Service Overview</vt:lpstr>
      <vt:lpstr>Parameters</vt:lpstr>
      <vt:lpstr>Recovery Objectives</vt:lpstr>
      <vt:lpstr>Recovery Testing</vt:lpstr>
      <vt:lpstr>Performance Metrics</vt:lpstr>
      <vt:lpstr>Impact Analysis</vt:lpstr>
      <vt:lpstr>Improvement Action Plan</vt:lpstr>
      <vt:lpstr>Analysis Key</vt:lpstr>
      <vt:lpstr>Formulae Reference</vt:lpstr>
      <vt:lpstr>BF</vt:lpstr>
      <vt:lpstr>CSR</vt:lpstr>
      <vt:lpstr>CustomerRPO</vt:lpstr>
      <vt:lpstr>CustomerRTO</vt:lpstr>
      <vt:lpstr>DCR</vt:lpstr>
      <vt:lpstr>GD</vt:lpstr>
      <vt:lpstr>IC</vt:lpstr>
      <vt:lpstr>IncidentFreq</vt:lpstr>
      <vt:lpstr>NCD</vt:lpstr>
      <vt:lpstr>RA</vt:lpstr>
      <vt:lpstr>RTD</vt:lpstr>
      <vt:lpstr>SC</vt:lpstr>
      <vt:lpstr>SEA</vt:lpstr>
      <vt:lpstr>TTCR</vt:lpstr>
      <vt:lpstr>TTD</vt:lpstr>
      <vt:lpstr>TTIR</vt:lpstr>
      <vt:lpstr>TTVR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injai</dc:creator>
  <dc:description/>
  <cp:lastModifiedBy>Lewis injai</cp:lastModifiedBy>
  <cp:revision>0</cp:revision>
  <dcterms:created xsi:type="dcterms:W3CDTF">2026-06-09T08:36:55Z</dcterms:created>
  <dcterms:modified xsi:type="dcterms:W3CDTF">2026-06-15T14:23:27Z</dcterms:modified>
  <dc:language>en-US</dc:language>
</cp:coreProperties>
</file>